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worksheets/sheet1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6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_Couverture" sheetId="1" state="visible" r:id="rId3"/>
    <sheet name="01_Methodologie" sheetId="2" state="visible" r:id="rId4"/>
    <sheet name="02_Hypotheses" sheetId="3" state="visible" r:id="rId5"/>
    <sheet name="03_Scenario_Cycles" sheetId="4" state="visible" r:id="rId6"/>
    <sheet name="04_Revenus" sheetId="5" state="visible" r:id="rId7"/>
    <sheet name="05_Opex" sheetId="6" state="visible" r:id="rId8"/>
    <sheet name="06_Inter_company" sheetId="7" state="visible" r:id="rId9"/>
    <sheet name="07_Cascade_Fiscale" sheetId="8" state="visible" r:id="rId10"/>
    <sheet name="08_Cashflow" sheetId="9" state="visible" r:id="rId11"/>
    <sheet name="09_Cap_Table" sheetId="10" state="visible" r:id="rId12"/>
    <sheet name="10_Waterfall" sheetId="11" state="visible" r:id="rId13"/>
    <sheet name="11_Rendements" sheetId="12" state="visible" r:id="rId14"/>
    <sheet name="12_Concentration" sheetId="13" state="visible" r:id="rId15"/>
    <sheet name="13_Gouvernance" sheetId="14" state="visible" r:id="rId16"/>
    <sheet name="14_Affilies" sheetId="15" state="visible" r:id="rId17"/>
    <sheet name="15_Sensibilite" sheetId="16" state="visible" r:id="rId18"/>
    <sheet name="16_Validation" sheetId="17" state="visible" r:id="rId19"/>
    <sheet name="17_Reference_Map" sheetId="18" state="visible" r:id="rId20"/>
    <sheet name="18_Vue_Externe" sheetId="19" state="visible" r:id="rId21"/>
  </sheets>
  <definedNames>
    <definedName function="false" hidden="false" name="assm_affermage_rate" vbProcedure="false">'02_Hypotheses'!$B$25</definedName>
    <definedName function="false" hidden="false" name="assm_bilateral" vbProcedure="false">'02_Hypotheses'!$B$7</definedName>
    <definedName function="false" hidden="false" name="assm_c1_sector" vbProcedure="false">'02_Hypotheses'!$B$41</definedName>
    <definedName function="false" hidden="false" name="assm_c2_scale" vbProcedure="false">'02_Hypotheses'!$B$44</definedName>
    <definedName function="false" hidden="false" name="assm_c2_sector" vbProcedure="false">'02_Hypotheses'!$B$42</definedName>
    <definedName function="false" hidden="false" name="assm_c3_scale" vbProcedure="false">'02_Hypotheses'!$B$45</definedName>
    <definedName function="false" hidden="false" name="assm_c3_sector" vbProcedure="false">'02_Hypotheses'!$B$43</definedName>
    <definedName function="false" hidden="false" name="assm_discount_eq" vbProcedure="false">'02_Hypotheses'!$B$39</definedName>
    <definedName function="false" hidden="false" name="assm_equanym_imm" vbProcedure="false">'02_Hypotheses'!$B$37</definedName>
    <definedName function="false" hidden="false" name="assm_exec_margin" vbProcedure="false">'02_Hypotheses'!$B$28</definedName>
    <definedName function="false" hidden="false" name="assm_float_sh" vbProcedure="false">'02_Hypotheses'!$B$36</definedName>
    <definedName function="false" hidden="false" name="assm_fx" vbProcedure="false">'02_Hypotheses'!$B$6</definedName>
    <definedName function="false" hidden="false" name="assm_is_rate" vbProcedure="false">'02_Hypotheses'!$B$30</definedName>
    <definedName function="false" hidden="false" name="assm_jituboh_pct" vbProcedure="false">'02_Hypotheses'!$B$26</definedName>
    <definedName function="false" hidden="false" name="assm_jituboh_sh" vbProcedure="false">'02_Hypotheses'!$B$38</definedName>
    <definedName function="false" hidden="false" name="assm_jobs" vbProcedure="false">'02_Hypotheses'!$B$108</definedName>
    <definedName function="false" hidden="false" name="assm_redevance_rate" vbProcedure="false">'02_Hypotheses'!$B$29</definedName>
    <definedName function="false" hidden="false" name="assm_rv_pct" vbProcedure="false">'02_Hypotheses'!$B$35</definedName>
    <definedName function="false" hidden="false" name="assm_scenario" vbProcedure="false">'02_Hypotheses'!$B$12</definedName>
    <definedName function="false" hidden="false" name="assm_streamC_assiette" vbProcedure="false">'02_Hypotheses'!$B$24</definedName>
    <definedName function="false" hidden="false" name="assm_streamE_on" vbProcedure="false">'02_Hypotheses'!$B$23</definedName>
    <definedName function="false" hidden="false" name="assm_wht_mode" vbProcedure="false">'02_Hypotheses'!$B$22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Ledger</author>
  </authors>
  <commentList>
    <comment ref="B6" authorId="0">
      <text>
        <r>
          <rPr>
            <sz val="10"/>
            <rFont val="Arial"/>
            <family val="2"/>
          </rPr>
          <t xml:space="preserve">BCEAO mid convention Pacte.</t>
        </r>
      </text>
    </comment>
    <comment ref="B7" authorId="0">
      <text>
        <r>
          <rPr>
            <sz val="10"/>
            <rFont val="Arial"/>
            <family val="2"/>
          </rPr>
          <t xml:space="preserve">USD 1.38bn Pacte 7.2.</t>
        </r>
      </text>
    </comment>
    <comment ref="B8" authorId="0">
      <text>
        <r>
          <rPr>
            <sz val="10"/>
            <rFont val="Arial"/>
            <family val="2"/>
          </rPr>
          <t xml:space="preserve">IP cession M24 transfer Academy M36.</t>
        </r>
      </text>
    </comment>
    <comment ref="B9" authorId="0">
      <text>
        <r>
          <rPr>
            <sz val="10"/>
            <rFont val="Arial"/>
            <family val="2"/>
          </rPr>
          <t xml:space="preserve">&gt;=USD100M triggers Stream E.</t>
        </r>
      </text>
    </comment>
    <comment ref="B10" authorId="0">
      <text>
        <r>
          <rPr>
            <sz val="10"/>
            <rFont val="Arial"/>
            <family val="2"/>
          </rPr>
          <t xml:space="preserve">&gt;=USD100M 2028.</t>
        </r>
      </text>
    </comment>
    <comment ref="B12" authorId="0">
      <text>
        <r>
          <rPr>
            <sz val="10"/>
            <rFont val="Arial"/>
            <family val="2"/>
          </rPr>
          <t xml:space="preserve">Base locked CEO 2026-06-11.</t>
        </r>
      </text>
    </comment>
    <comment ref="B13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14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15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16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17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18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19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20" authorId="0">
      <text>
        <r>
          <rPr>
            <sz val="10"/>
            <rFont val="Arial"/>
            <family val="2"/>
          </rPr>
          <t xml:space="preserve">Y1-Y4 uniform; Y5 non-uniform (contingent streams).</t>
        </r>
      </text>
    </comment>
    <comment ref="B22" authorId="0">
      <text>
        <r>
          <rPr>
            <sz val="10"/>
            <rFont val="Arial"/>
            <family val="2"/>
          </rPr>
          <t xml:space="preserve">CEO BASELINE LOCK 2026-06-21: 10pct conservative / DFI-clean. 5pct=favourable lever, 0pct=treaty exemption lever.</t>
        </r>
      </text>
    </comment>
    <comment ref="B23" authorId="0">
      <text>
        <r>
          <rPr>
            <sz val="10"/>
            <rFont val="Arial"/>
            <family val="2"/>
          </rPr>
          <t xml:space="preserve">CEO BASELINE LOCK 2026-06-21: OFF=excluded from baseline. Stream-E=upside lever only (ONEP-SA blue-bond &gt;=100M 2028).</t>
        </r>
      </text>
    </comment>
    <comment ref="B24" authorId="0">
      <text>
        <r>
          <rPr>
            <sz val="10"/>
            <rFont val="Arial"/>
            <family val="2"/>
          </rPr>
          <t xml:space="preserve">FL-1 #2. 33pct CIV base.</t>
        </r>
      </text>
    </comment>
    <comment ref="B25" authorId="0">
      <text>
        <r>
          <rPr>
            <sz val="10"/>
            <rFont val="Arial"/>
            <family val="2"/>
          </rPr>
          <t xml:space="preserve">CEO BASELINE LOCK 2026-06-21: 6pct. Band 5-8pct FL-1 #5.</t>
        </r>
      </text>
    </comment>
    <comment ref="B26" authorId="0">
      <text>
        <r>
          <rPr>
            <sz val="10"/>
            <rFont val="Arial"/>
            <family val="2"/>
          </rPr>
          <t xml:space="preserve">CEO LOCK: 15pct fixed anti-dilution. Use jit_sh (7500 shares) as primary. This pct for legacy formula compatibility.</t>
        </r>
      </text>
    </comment>
    <comment ref="B28" authorId="0">
      <text>
        <r>
          <rPr>
            <sz val="10"/>
            <rFont val="Arial"/>
            <family val="2"/>
          </rPr>
          <t xml:space="preserve">15pct cost-plus LOCKED CEO. CAC-attestable CGI-CI Art.36ter/38.</t>
        </r>
      </text>
    </comment>
    <comment ref="B29" authorId="0">
      <text>
        <r>
          <rPr>
            <sz val="10"/>
            <rFont val="Arial"/>
            <family val="2"/>
          </rPr>
          <t xml:space="preserve">15pct CIV median GWP/IWA.</t>
        </r>
      </text>
    </comment>
    <comment ref="B30" authorId="0">
      <text>
        <r>
          <rPr>
            <sz val="10"/>
            <rFont val="Arial"/>
            <family val="2"/>
          </rPr>
          <t xml:space="preserve">CEO RULING 2026-06-22: RV Iroko SA = private SA, does NOT auto-inherit ADFIC EPIC exemption (Sentinel CONDITIONAL/CRITICAL on v3). IS 25pct = OHADA Art.36 CGI-CI statutory baseline. IS 0pct = UPSIDE LEVER only (pending CIV/OHADA counsel confirmation of EPIC eligibility). EPIC exemption cannot be asserted until confirmed. Cascade: 7450-1556-136=5758 -&gt; IS25%=1440 -&gt; postIS=4318 -&gt; WHT10%=432 -&gt; NET 3886.</t>
        </r>
      </text>
    </comment>
    <comment ref="B31" authorId="0">
      <text>
        <r>
          <rPr>
            <sz val="10"/>
            <rFont val="Arial"/>
            <family val="2"/>
          </rPr>
          <t xml:space="preserve">UPSIDE LEVER: 0pct IS if EPIC exemption confirmed by CIV/OHADA counsel. Baseline = 25pct (assm_is_rate). Set assm_is_rate=0.00 to activate upside scenario (net Y5 = 5182). Pending counsel - do NOT assert EPIC exemption until confirmed.</t>
        </r>
      </text>
    </comment>
    <comment ref="B33" authorId="0">
      <text>
        <r>
          <rPr>
            <sz val="10"/>
            <rFont val="Arial"/>
            <family val="2"/>
          </rPr>
          <t xml:space="preserve">50000 shares FCFA 1000/share = FCFA 50M.</t>
        </r>
      </text>
    </comment>
    <comment ref="B34" authorId="0">
      <text>
        <r>
          <rPr>
            <sz val="10"/>
            <rFont val="Arial"/>
            <family val="2"/>
          </rPr>
          <t xml:space="preserve">26-month window post-immatriculation.</t>
        </r>
      </text>
    </comment>
    <comment ref="B35" authorId="0">
      <text>
        <r>
          <rPr>
            <sz val="10"/>
            <rFont val="Arial"/>
            <family val="2"/>
          </rPr>
          <t xml:space="preserve">50pct direct. CEO LOCK 2026-06-21. IP en carry.</t>
        </r>
      </text>
    </comment>
    <comment ref="B36" authorId="0">
      <text>
        <r>
          <rPr>
            <sz val="10"/>
            <rFont val="Arial"/>
            <family val="2"/>
          </rPr>
          <t xml:space="preserve">15pct RV-held float. Headroom for new entrants. Distributes as RV until allocated. CEO 2026-06-21.</t>
        </r>
      </text>
    </comment>
    <comment ref="B37" authorId="0">
      <text>
        <r>
          <rPr>
            <sz val="10"/>
            <rFont val="Arial"/>
            <family val="2"/>
          </rPr>
          <t xml:space="preserve">20pct fixed. Anti-dilution clause. Board-excluded firewall &lt;33.3pct. CEO LOCK.</t>
        </r>
      </text>
    </comment>
    <comment ref="B38" authorId="0">
      <text>
        <r>
          <rPr>
            <sz val="10"/>
            <rFont val="Arial"/>
            <family val="2"/>
          </rPr>
          <t xml:space="preserve">15pct fixed. Anti-dilution clause. CEO LOCK. (no vesting cliff per CEO 2026-06-21 ruling).</t>
        </r>
      </text>
    </comment>
    <comment ref="B39" authorId="0">
      <text>
        <r>
          <rPr>
            <sz val="10"/>
            <rFont val="Arial"/>
            <family val="2"/>
          </rPr>
          <t xml:space="preserve">15pct equity (emerging market/venture).</t>
        </r>
      </text>
    </comment>
    <comment ref="B41" authorId="0">
      <text>
        <r>
          <rPr>
            <sz val="10"/>
            <rFont val="Arial"/>
            <family val="2"/>
          </rPr>
          <t xml:space="preserve">Anchors locked figures. CEO 2026-06-21.</t>
        </r>
      </text>
    </comment>
    <comment ref="B42" authorId="0">
      <text>
        <r>
          <rPr>
            <sz val="10"/>
            <rFont val="Arial"/>
            <family val="2"/>
          </rPr>
          <t xml:space="preserve">CEO REVERSED 2026-06-21: was Transport -&gt; now Habitat/Logement durable.</t>
        </r>
      </text>
    </comment>
    <comment ref="B43" authorId="0">
      <text>
        <r>
          <rPr>
            <sz val="10"/>
            <rFont val="Arial"/>
            <family val="2"/>
          </rPr>
          <t xml:space="preserve">CEO REVERSED 2026-06-21: was Habitat -&gt; now Transport &amp; mobilite urbaine.</t>
        </r>
      </text>
    </comment>
    <comment ref="B44" authorId="0">
      <text>
        <r>
          <rPr>
            <sz val="10"/>
            <rFont val="Arial"/>
            <family val="2"/>
          </rPr>
          <t xml:space="preserve">1.0 = exact clone Cycle-1.</t>
        </r>
      </text>
    </comment>
    <comment ref="B45" authorId="0">
      <text>
        <r>
          <rPr>
            <sz val="10"/>
            <rFont val="Arial"/>
            <family val="2"/>
          </rPr>
          <t xml:space="preserve">1.0 = exact clone Cycle-1.</t>
        </r>
      </text>
    </comment>
    <comment ref="B47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48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49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0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1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2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3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4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5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6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7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8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59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0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1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2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3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4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5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6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7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8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69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70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71" authorId="0">
      <text>
        <r>
          <rPr>
            <sz val="10"/>
            <rFont val="Arial"/>
            <family val="2"/>
          </rPr>
          <t xml:space="preserve">CEO-locked 2026-06-11.</t>
        </r>
      </text>
    </comment>
    <comment ref="B73" authorId="0">
      <text>
        <r>
          <rPr>
            <sz val="10"/>
            <rFont val="Arial"/>
            <family val="2"/>
          </rPr>
          <t xml:space="preserve">Delivery cost OpCo. Base inter-company price.</t>
        </r>
      </text>
    </comment>
    <comment ref="B74" authorId="0">
      <text>
        <r>
          <rPr>
            <sz val="10"/>
            <rFont val="Arial"/>
            <family val="2"/>
          </rPr>
          <t xml:space="preserve">Fixed all years.</t>
        </r>
      </text>
    </comment>
    <comment ref="B75" authorId="0">
      <text>
        <r>
          <rPr>
            <sz val="10"/>
            <rFont val="Arial"/>
            <family val="2"/>
          </rPr>
          <t xml:space="preserve">O&amp;M SIG/MRV.</t>
        </r>
      </text>
    </comment>
    <comment ref="B76" authorId="0">
      <text>
        <r>
          <rPr>
            <sz val="10"/>
            <rFont val="Arial"/>
            <family val="2"/>
          </rPr>
          <t xml:space="preserve">3 FTE.</t>
        </r>
      </text>
    </comment>
    <comment ref="B77" authorId="0">
      <text>
        <r>
          <rPr>
            <sz val="10"/>
            <rFont val="Arial"/>
            <family val="2"/>
          </rPr>
          <t xml:space="preserve">AUDSCGIE Art.694.</t>
        </r>
      </text>
    </comment>
    <comment ref="B78" authorId="0">
      <text>
        <r>
          <rPr>
            <sz val="10"/>
            <rFont val="Arial"/>
            <family val="2"/>
          </rPr>
          <t xml:space="preserve">Retainer 40 + conv.regl 15.</t>
        </r>
      </text>
    </comment>
    <comment ref="B79" authorId="0">
      <text>
        <r>
          <rPr>
            <sz val="10"/>
            <rFont val="Arial"/>
            <family val="2"/>
          </rPr>
          <t xml:space="preserve">5pct x (D+E).</t>
        </r>
      </text>
    </comment>
    <comment ref="B80" authorId="0">
      <text>
        <r>
          <rPr>
            <sz val="10"/>
            <rFont val="Arial"/>
            <family val="2"/>
          </rPr>
          <t xml:space="preserve">Fixed.</t>
        </r>
      </text>
    </comment>
    <comment ref="B81" authorId="0">
      <text>
        <r>
          <rPr>
            <sz val="10"/>
            <rFont val="Arial"/>
            <family val="2"/>
          </rPr>
          <t xml:space="preserve">10pct x non-orchestration base.</t>
        </r>
      </text>
    </comment>
    <comment ref="B82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83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84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85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86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87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88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89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0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1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2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3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4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5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6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7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8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99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100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101" authorId="0">
      <text>
        <r>
          <rPr>
            <sz val="10"/>
            <rFont val="Arial"/>
            <family val="2"/>
          </rPr>
          <t xml:space="preserve">Ramp x Y5 value.</t>
        </r>
      </text>
    </comment>
    <comment ref="B103" authorId="0">
      <text>
        <r>
          <rPr>
            <sz val="10"/>
            <rFont val="Arial"/>
            <family val="2"/>
          </rPr>
          <t xml:space="preserve">~5K/yr/director.</t>
        </r>
      </text>
    </comment>
    <comment ref="B104" authorId="0">
      <text>
        <r>
          <rPr>
            <sz val="10"/>
            <rFont val="Arial"/>
            <family val="2"/>
          </rPr>
          <t xml:space="preserve">3 members.</t>
        </r>
      </text>
    </comment>
    <comment ref="B105" authorId="0">
      <text>
        <r>
          <rPr>
            <sz val="10"/>
            <rFont val="Arial"/>
            <family val="2"/>
          </rPr>
          <t xml:space="preserve">24 months.</t>
        </r>
      </text>
    </comment>
    <comment ref="B106" authorId="0">
      <text>
        <r>
          <rPr>
            <sz val="10"/>
            <rFont val="Arial"/>
            <family val="2"/>
          </rPr>
          <t xml:space="preserve">Y1 setup.</t>
        </r>
      </text>
    </comment>
    <comment ref="B108" authorId="0">
      <text>
        <r>
          <rPr>
            <sz val="10"/>
            <rFont val="Arial"/>
            <family val="2"/>
          </rPr>
          <t xml:space="preserve">75k incl 40pct women.</t>
        </r>
      </text>
    </comment>
    <comment ref="B109" authorId="0">
      <text>
        <r>
          <rPr>
            <sz val="10"/>
            <rFont val="Arial"/>
            <family val="2"/>
          </rPr>
          <t xml:space="preserve">40pct -&gt; 30k.</t>
        </r>
      </text>
    </comment>
    <comment ref="B110" authorId="0">
      <text>
        <r>
          <rPr>
            <sz val="10"/>
            <rFont val="Arial"/>
            <family val="2"/>
          </rPr>
          <t xml:space="preserve">-33.07pct CDN 3.0 conditional.</t>
        </r>
      </text>
    </comment>
    <comment ref="B111" authorId="0">
      <text>
        <r>
          <rPr>
            <sz val="10"/>
            <rFont val="Arial"/>
            <family val="2"/>
          </rPr>
          <t xml:space="preserve">Korhogo 66 MWc.</t>
        </r>
      </text>
    </comment>
    <comment ref="B112" authorId="0">
      <text>
        <r>
          <rPr>
            <sz val="10"/>
            <rFont val="Arial"/>
            <family val="2"/>
          </rPr>
          <t xml:space="preserve">&gt;72k tCO2.</t>
        </r>
      </text>
    </comment>
    <comment ref="B113" authorId="0">
      <text>
        <r>
          <rPr>
            <sz val="10"/>
            <rFont val="Arial"/>
            <family val="2"/>
          </rPr>
          <t xml:space="preserve">CFAF 42.65bn / 609.</t>
        </r>
      </text>
    </comment>
  </commentList>
</comments>
</file>

<file path=xl/sharedStrings.xml><?xml version="1.0" encoding="utf-8"?>
<sst xmlns="http://schemas.openxmlformats.org/spreadsheetml/2006/main" count="1049" uniqueCount="691">
  <si>
    <t xml:space="preserve">RV Iroko SA - Modele Financier et d Impact Couche 2 OpCo</t>
  </si>
  <si>
    <t xml:space="preserve">Deck 3 - OpCo Couche 2. 9 ans 3 cycles PND. formule-first RC-17. Confidentiel.</t>
  </si>
  <si>
    <t xml:space="preserve">Version</t>
  </si>
  <si>
    <t xml:space="preserve">v4 - 2026-06-22 (CEO RULING 2026-06-22: IS 25pct OHADA SA baseline / WHT 10pct / Stream-E OFF / RV 65pct)</t>
  </si>
  <si>
    <t xml:space="preserve">Perimetre</t>
  </si>
  <si>
    <t xml:space="preserve">RV Iroko SA Couche 2 - 9 ans 3 cycles PND</t>
  </si>
  <si>
    <t xml:space="preserve">Secteurs</t>
  </si>
  <si>
    <t xml:space="preserve">C1: Eau et climat / C2: Habitat &amp; Logement durable / C3: Transport &amp; mobilite urbaine</t>
  </si>
  <si>
    <t xml:space="preserve">Fiscal</t>
  </si>
  <si>
    <t xml:space="preserve">IS 25pct OHADA SA Art.36 CGI-CI (BASELINE CEO RULING 2026-06-22). IS 0pct = UPSIDE LEVER pending CIV/OHADA counsel. WHT 10pct baseline (mode 3).</t>
  </si>
  <si>
    <t xml:space="preserve">Cap table</t>
  </si>
  <si>
    <t xml:space="preserve">RV 50pct direct + 15pct float (RV-held) = 65pct economic. Eq 20pct (anti-dil). Jit 15pct (anti-dil).</t>
  </si>
  <si>
    <t xml:space="preserve">Net Y5</t>
  </si>
  <si>
    <t xml:space="preserve">~3886 (derivation: 7450-1556-136=5758 IS25%=1440 postIS=4318 WHT10%=432 net=3886)</t>
  </si>
  <si>
    <t xml:space="preserve">Standard</t>
  </si>
  <si>
    <t xml:space="preserve">RC-17 formula-first 15+ named ranges 25 validation checks</t>
  </si>
  <si>
    <t xml:space="preserve">Statut</t>
  </si>
  <si>
    <t xml:space="preserve">Validation</t>
  </si>
  <si>
    <t xml:space="preserve">Index</t>
  </si>
  <si>
    <t xml:space="preserve">&gt; Couverture</t>
  </si>
  <si>
    <t xml:space="preserve">&gt; Methodologie</t>
  </si>
  <si>
    <t xml:space="preserve">&gt; Hypotheses</t>
  </si>
  <si>
    <t xml:space="preserve">&gt; Scenario et cycles</t>
  </si>
  <si>
    <t xml:space="preserve">&gt; Revenus</t>
  </si>
  <si>
    <t xml:space="preserve">&gt; Opex</t>
  </si>
  <si>
    <t xml:space="preserve">&gt; Inter-company</t>
  </si>
  <si>
    <t xml:space="preserve">&gt; Cascade fiscale</t>
  </si>
  <si>
    <t xml:space="preserve">&gt; Cash-flow</t>
  </si>
  <si>
    <t xml:space="preserve">&gt; Cap table</t>
  </si>
  <si>
    <t xml:space="preserve">&gt; Waterfall</t>
  </si>
  <si>
    <t xml:space="preserve">&gt; Rendements actionnaires</t>
  </si>
  <si>
    <t xml:space="preserve">&gt; Concentration et pare-feux</t>
  </si>
  <si>
    <t xml:space="preserve">&gt; Gouvernance</t>
  </si>
  <si>
    <t xml:space="preserve">&gt; Affilies et impact</t>
  </si>
  <si>
    <t xml:space="preserve">&gt; Sensibilite</t>
  </si>
  <si>
    <t xml:space="preserve">&gt; Validation</t>
  </si>
  <si>
    <t xml:space="preserve">&gt; Reference Map</t>
  </si>
  <si>
    <t xml:space="preserve">&gt; Vue externe</t>
  </si>
  <si>
    <t xml:space="preserve">BLUE = input</t>
  </si>
  <si>
    <t xml:space="preserve">black = formula</t>
  </si>
  <si>
    <t xml:space="preserve">green = link</t>
  </si>
  <si>
    <t xml:space="preserve">amber = FL-1 parametric</t>
  </si>
  <si>
    <t xml:space="preserve">RV Iroko SA (OpCo / Layer 2) - Methodology (RC-17) - CEO RULING 2026-06-22 (IS 25pct OHADA SA baseline)</t>
  </si>
  <si>
    <t xml:space="preserve">1. SCOPE: RV Iroko SA Layer 2. Permanent CIV operating subsidiary. 9 years 3 PND mandate cycles C1:Eau&amp;Climat -&gt; C2:Habitat/Logement -&gt; C3:Transport&amp;Mobilite.</t>
  </si>
  <si>
    <t xml:space="preserve">2. CYCLES: Each cycle = same substrate mandate in distinct PND sector. Scale 1.0 exact clone. Staggered +3/+6 yrs. Overlap from Y4. CEO REVERSED C2/C3 2026-06-21.</t>
  </si>
  <si>
    <t xml:space="preserve">3. REVENUE: 5 streams: A Orch (extinguishes M36) / B Licences / C Academy (extinguishes M36 via ToT) / D Structuration / E MRV success (UPSIDE LEVER ONLY - OFF by default).</t>
  </si>
  <si>
    <t xml:space="preserve">4. INTER-COMPANY: Exec price ADFIC-&gt;OpCo = orch cost x 1.15 (CEO-locked CGI-CI Art.36ter/38). Royalty OpCo-&gt;ADFIC = ROUND(15pct x B x 33pct,0) = 136 at Y5.</t>
  </si>
  <si>
    <t xml:space="preserve">5. FISCAL (CEO RULING 2026-06-22): IS = 25pct OHADA Art.36 CGI-CI (assm_is_rate=0.25). RV Iroko SA = private SA; DOES NOT auto-inherit ADFIC EPIC exemption (Sentinel CONDITIONAL/CRITICAL). IS 0pct = UPSIDE LEVER ONLY pending CIV/OHADA counsel (set assm_is_rate=0 to activate upside). WHT = 10pct DEFAULT (assm_wht_mode=3). CASCADE: 7450-1556-136=5758 -&gt; IS=1440 -&gt; postIS=4318 -&gt; WHT=432 -&gt; NET 3886.</t>
  </si>
  <si>
    <t xml:space="preserve">6. CAP TABLE (CEO LOCK): FCFA 50M libere. RV 50pct direct (25000 sh) + 15pct float/RV-held (7500 sh) = 65pct economic. Equanym 20pct fixed anti-dil (10000 sh). Jituboh 15pct fixed anti-dil (7500 sh). ALL apport en nature.</t>
  </si>
  <si>
    <t xml:space="preserve">7. DISTRIBUTIONS: RV 65pct / Eq 20pct / Jituboh 15pct. Single-cycle waterfall v1 method. IRR=n/a all parties (en nature). No negatives.</t>
  </si>
  <si>
    <t xml:space="preserve">8. DILUTION WATERFALL: New entrants -&gt; exhaust 15pct float first -&gt; dilute RV to floor=Eq+5%=25% -&gt; pro-rata. No new entrants in baseline.</t>
  </si>
  <si>
    <t xml:space="preserve">9. RC-17: All inputs in 02_Hypotheses (blue). Formulas only downstream. 15+ assm_ named ranges.</t>
  </si>
  <si>
    <t xml:space="preserve">10. VERIFICATION: recalc.py -&gt; 0 errors. 16_Validation = ALL PASS (25 checks). validate_no_placeholders.py --strict PASS.</t>
  </si>
  <si>
    <t xml:space="preserve">11. AGENCY BAKE-IN: 06_Inter_company oe/ie vectors. RC-23. Agency model also uses IS=25% cascade (now aligned with v4 baseline). Agency redevance=136 still ties. Full cross-model tie-out deferred to next phase.</t>
  </si>
  <si>
    <t xml:space="preserve">Sources: _CEO-DECISION-MEMO-BASELINE-LOCK-2026-06-21.md / _OPCO-MODEL-BUILD-SPEC.md / _FIX-FINALIZE-SPEC-2026-06-21.md / CEO-RULING-IS25-BASELINE-2026-06-22</t>
  </si>
  <si>
    <t xml:space="preserve">RV Iroko SA Hypotheses (RC-17)</t>
  </si>
  <si>
    <t xml:space="preserve">BLUE=input black=formula. Layer 2 OpCo. assm_ named ranges.</t>
  </si>
  <si>
    <t xml:space="preserve">&lt; Couverture</t>
  </si>
  <si>
    <t xml:space="preserve">Parametre</t>
  </si>
  <si>
    <t xml:space="preserve">Valeur</t>
  </si>
  <si>
    <t xml:space="preserve">Unite</t>
  </si>
  <si>
    <t xml:space="preserve">Rationale</t>
  </si>
  <si>
    <t xml:space="preserve">Ancre</t>
  </si>
  <si>
    <t xml:space="preserve">A - Global parameters</t>
  </si>
  <si>
    <t xml:space="preserve">FX FCFA/USD</t>
  </si>
  <si>
    <t xml:space="preserve">FCFA/USD</t>
  </si>
  <si>
    <t xml:space="preserve">BCEAO mid convention Pacte.</t>
  </si>
  <si>
    <t xml:space="preserve">RP E</t>
  </si>
  <si>
    <t xml:space="preserve">Bilateral pipeline</t>
  </si>
  <si>
    <t xml:space="preserve">USD k</t>
  </si>
  <si>
    <t xml:space="preserve">USD 1.38bn Pacte 7.2.</t>
  </si>
  <si>
    <t xml:space="preserve">Deck4 A2</t>
  </si>
  <si>
    <t xml:space="preserve">Mandate duration</t>
  </si>
  <si>
    <t xml:space="preserve">months</t>
  </si>
  <si>
    <t xml:space="preserve">IP cession M24 transfer Academy M36.</t>
  </si>
  <si>
    <t xml:space="preserve">Spec</t>
  </si>
  <si>
    <t xml:space="preserve">Blue-bond ONEP-SA milestone</t>
  </si>
  <si>
    <t xml:space="preserve">year</t>
  </si>
  <si>
    <t xml:space="preserve">&gt;=USD100M triggers Stream E.</t>
  </si>
  <si>
    <t xml:space="preserve">Deck2a A10</t>
  </si>
  <si>
    <t xml:space="preserve">Blue-bond target size</t>
  </si>
  <si>
    <t xml:space="preserve">&gt;=USD100M 2028.</t>
  </si>
  <si>
    <t xml:space="preserve">B - Scenario and annual factors</t>
  </si>
  <si>
    <t xml:space="preserve">SCENARIO DRIVER (1=Cons 2=Base 3=Opt)</t>
  </si>
  <si>
    <t xml:space="preserve">1/2/3</t>
  </si>
  <si>
    <t xml:space="preserve">Base locked CEO 2026-06-11.</t>
  </si>
  <si>
    <t xml:space="preserve">CEO</t>
  </si>
  <si>
    <t xml:space="preserve">  Factor Cons Y2</t>
  </si>
  <si>
    <t xml:space="preserve">x</t>
  </si>
  <si>
    <t xml:space="preserve">Y1-Y4 uniform; Y5 non-uniform (contingent streams).</t>
  </si>
  <si>
    <t xml:space="preserve">Deck2a A2</t>
  </si>
  <si>
    <t xml:space="preserve">  Factor Cons Y3</t>
  </si>
  <si>
    <t xml:space="preserve">  Factor Cons Y4</t>
  </si>
  <si>
    <t xml:space="preserve">  Factor Cons Y5</t>
  </si>
  <si>
    <t xml:space="preserve">  Factor Opt Y2</t>
  </si>
  <si>
    <t xml:space="preserve">  Factor Opt Y3</t>
  </si>
  <si>
    <t xml:space="preserve">  Factor Opt Y4</t>
  </si>
  <si>
    <t xml:space="preserve">  Factor Opt Y5</t>
  </si>
  <si>
    <t xml:space="preserve">C - FL-1 toggles (open items - never silently resolve)</t>
  </si>
  <si>
    <t xml:space="preserve">WHT mode (1=5pct 2=0pct 3=10pct)</t>
  </si>
  <si>
    <t xml:space="preserve">CEO BASELINE LOCK 2026-06-21: 10pct conservative / DFI-clean. 5pct=favourable lever, 0pct=treaty exemption lever.</t>
  </si>
  <si>
    <t xml:space="preserve">CEO 2026-06-21</t>
  </si>
  <si>
    <t xml:space="preserve">Stream E active (1=ON 0=OFF)</t>
  </si>
  <si>
    <t xml:space="preserve">1/0</t>
  </si>
  <si>
    <t xml:space="preserve">CEO BASELINE LOCK 2026-06-21: OFF=excluded from baseline. Stream-E=upside lever only (ONEP-SA blue-bond &gt;=100M 2028).</t>
  </si>
  <si>
    <t xml:space="preserve">Stream C assiette (1=33pct 2=70pct 3=15pct)</t>
  </si>
  <si>
    <t xml:space="preserve">FL-1 #2. 33pct CIV base.</t>
  </si>
  <si>
    <t xml:space="preserve">FL-1 2</t>
  </si>
  <si>
    <t xml:space="preserve">Affermage rate OpCo-&gt;ADFIC</t>
  </si>
  <si>
    <t xml:space="preserve">rate</t>
  </si>
  <si>
    <t xml:space="preserve">CEO BASELINE LOCK 2026-06-21: 6pct. Band 5-8pct FL-1 #5.</t>
  </si>
  <si>
    <t xml:space="preserve">Jituboh pct (derived from jit_sh 15pct - CEO LOCK 2026-06-21)</t>
  </si>
  <si>
    <t xml:space="preserve">CEO LOCK: 15pct fixed anti-dilution. Use jit_sh (7500 shares) as primary. This pct for legacy formula compatibility.</t>
  </si>
  <si>
    <t xml:space="preserve">D - Inter-company: margin and royalty</t>
  </si>
  <si>
    <t xml:space="preserve">Execution margin ADFIC-&gt;OpCo (cost-plus)</t>
  </si>
  <si>
    <t xml:space="preserve">15pct cost-plus LOCKED CEO. CAC-attestable CGI-CI Art.36ter/38.</t>
  </si>
  <si>
    <t xml:space="preserve">Royalty rate methodology (OpCo-&gt;ADFIC)</t>
  </si>
  <si>
    <t xml:space="preserve">15pct CIV median GWP/IWA.</t>
  </si>
  <si>
    <t xml:space="preserve">Deck2a s16</t>
  </si>
  <si>
    <t xml:space="preserve">IS rate (OHADA SA Art.36 CGI-CI - baseline 25pct)</t>
  </si>
  <si>
    <t xml:space="preserve">CEO RULING 2026-06-22: RV Iroko SA = private SA, does NOT auto-inherit ADFIC EPIC exemption (Sentinel CONDITIONAL/CRITICAL on v3). IS 25pct = OHADA Art.36 CGI-CI statutory baseline. IS 0pct = UPSIDE LEVER only (pending CIV/OHADA counsel confirmation of EPIC eligibility). EPIC exemption cannot be asserted until confirmed. Cascade: 7450-1556-136=5758 -&gt; IS25%=1440 -&gt; postIS=4318 -&gt; WHT10%=432 -&gt; NET 3886.</t>
  </si>
  <si>
    <t xml:space="preserve">CEO 2026-06-22</t>
  </si>
  <si>
    <t xml:space="preserve">IS upside lever (0pct - pending EPIC counsel)</t>
  </si>
  <si>
    <t xml:space="preserve">UPSIDE LEVER: 0pct IS if EPIC exemption confirmed by CIV/OHADA counsel. Baseline = 25pct (assm_is_rate). Set assm_is_rate=0.00 to activate upside scenario (net Y5 = 5182). Pending counsel - do NOT assert EPIC exemption until confirmed.</t>
  </si>
  <si>
    <t xml:space="preserve">EPIC counsel pending</t>
  </si>
  <si>
    <t xml:space="preserve">E - Cap table and vesting (CEO BASELINE LOCK 2026-06-21)</t>
  </si>
  <si>
    <t xml:space="preserve">Shares issued (liberated)</t>
  </si>
  <si>
    <t xml:space="preserve">shares</t>
  </si>
  <si>
    <t xml:space="preserve">50000 shares FCFA 1000/share = FCFA 50M.</t>
  </si>
  <si>
    <t xml:space="preserve">Art.8bis headroom (unissued)</t>
  </si>
  <si>
    <t xml:space="preserve">26-month window post-immatriculation.</t>
  </si>
  <si>
    <t xml:space="preserve">Spec 7</t>
  </si>
  <si>
    <t xml:space="preserve">RV-FZCO direct shares</t>
  </si>
  <si>
    <t xml:space="preserve">50pct direct. CEO LOCK 2026-06-21. IP en carry.</t>
  </si>
  <si>
    <t xml:space="preserve">Float shares (RV-held headroom)</t>
  </si>
  <si>
    <t xml:space="preserve">15pct RV-held float. Headroom for new entrants. Distributes as RV until allocated. CEO 2026-06-21.</t>
  </si>
  <si>
    <t xml:space="preserve">Equanym shares (fixed anti-dilution)</t>
  </si>
  <si>
    <t xml:space="preserve">20pct fixed. Anti-dilution clause. Board-excluded firewall &lt;33.3pct. CEO LOCK.</t>
  </si>
  <si>
    <t xml:space="preserve">Jituboh shares (fixed anti-dilution)</t>
  </si>
  <si>
    <t xml:space="preserve">15pct fixed. Anti-dilution clause. CEO LOCK. (no vesting cliff per CEO 2026-06-21 ruling).</t>
  </si>
  <si>
    <t xml:space="preserve">Shareholder discount rate</t>
  </si>
  <si>
    <t xml:space="preserve">15pct equity (emerging market/venture).</t>
  </si>
  <si>
    <t xml:space="preserve">Convention</t>
  </si>
  <si>
    <t xml:space="preserve">F - PND cycle sectors (3 cycles x 3 years)</t>
  </si>
  <si>
    <t xml:space="preserve">Cycle 1 sector</t>
  </si>
  <si>
    <t xml:space="preserve">Eau et climat (ADFIC)</t>
  </si>
  <si>
    <t xml:space="preserve">label</t>
  </si>
  <si>
    <t xml:space="preserve">Anchors locked figures. CEO 2026-06-21.</t>
  </si>
  <si>
    <t xml:space="preserve">Cycle 2 sector</t>
  </si>
  <si>
    <t xml:space="preserve">Habitat / Logement durable</t>
  </si>
  <si>
    <t xml:space="preserve">CEO REVERSED 2026-06-21: was Transport -&gt; now Habitat/Logement durable.</t>
  </si>
  <si>
    <t xml:space="preserve">Cycle 3 sector</t>
  </si>
  <si>
    <t xml:space="preserve">Transport et mobilite urbaine</t>
  </si>
  <si>
    <t xml:space="preserve">CEO REVERSED 2026-06-21: was Habitat -&gt; now Transport &amp; mobilite urbaine.</t>
  </si>
  <si>
    <t xml:space="preserve">Cycle 2 scale</t>
  </si>
  <si>
    <t xml:space="preserve">1.0 = exact clone Cycle-1.</t>
  </si>
  <si>
    <t xml:space="preserve">Cycle 3 scale</t>
  </si>
  <si>
    <t xml:space="preserve">G - Cycle-1 base revenue (USD k) - CEO-locked vector</t>
  </si>
  <si>
    <t xml:space="preserve">  A Orchestration Y1</t>
  </si>
  <si>
    <t xml:space="preserve">CEO-locked 2026-06-11.</t>
  </si>
  <si>
    <t xml:space="preserve">Locked B.1</t>
  </si>
  <si>
    <t xml:space="preserve">  A Orchestration Y2</t>
  </si>
  <si>
    <t xml:space="preserve">  A Orchestration Y3</t>
  </si>
  <si>
    <t xml:space="preserve">  A Orchestration Y4</t>
  </si>
  <si>
    <t xml:space="preserve">  A Orchestration Y5</t>
  </si>
  <si>
    <t xml:space="preserve">  B Licences Y1</t>
  </si>
  <si>
    <t xml:space="preserve">  B Licences Y2</t>
  </si>
  <si>
    <t xml:space="preserve">  B Licences Y3</t>
  </si>
  <si>
    <t xml:space="preserve">  B Licences Y4</t>
  </si>
  <si>
    <t xml:space="preserve">  B Licences Y5</t>
  </si>
  <si>
    <t xml:space="preserve">  C Academie Y1</t>
  </si>
  <si>
    <t xml:space="preserve">  C Academie Y2</t>
  </si>
  <si>
    <t xml:space="preserve">  C Academie Y3</t>
  </si>
  <si>
    <t xml:space="preserve">  C Academie Y4</t>
  </si>
  <si>
    <t xml:space="preserve">  C Academie Y5</t>
  </si>
  <si>
    <t xml:space="preserve">  D Structuration Y1</t>
  </si>
  <si>
    <t xml:space="preserve">  D Structuration Y2</t>
  </si>
  <si>
    <t xml:space="preserve">  D Structuration Y3</t>
  </si>
  <si>
    <t xml:space="preserve">  D Structuration Y4</t>
  </si>
  <si>
    <t xml:space="preserve">  D Structuration Y5</t>
  </si>
  <si>
    <t xml:space="preserve">  E MRV success Y1</t>
  </si>
  <si>
    <t xml:space="preserve">  E MRV success Y2</t>
  </si>
  <si>
    <t xml:space="preserve">  E MRV success Y3</t>
  </si>
  <si>
    <t xml:space="preserve">  E MRV success Y4</t>
  </si>
  <si>
    <t xml:space="preserve">  E MRV success Y5</t>
  </si>
  <si>
    <t xml:space="preserve">H - Opex Y5 drivers (USD k - Y5=1556 LOCKED)</t>
  </si>
  <si>
    <t xml:space="preserve">Orchestration service contracts</t>
  </si>
  <si>
    <t xml:space="preserve">Delivery cost OpCo. Base inter-company price.</t>
  </si>
  <si>
    <t xml:space="preserve">Locked B.2</t>
  </si>
  <si>
    <t xml:space="preserve">PMO overhead</t>
  </si>
  <si>
    <t xml:space="preserve">Fixed all years.</t>
  </si>
  <si>
    <t xml:space="preserve">Tech/MRV platform maintenance</t>
  </si>
  <si>
    <t xml:space="preserve">O&amp;M SIG/MRV.</t>
  </si>
  <si>
    <t xml:space="preserve">Deal team (Dir@120 + 2xAnal@70)</t>
  </si>
  <si>
    <t xml:space="preserve">3 FTE.</t>
  </si>
  <si>
    <t xml:space="preserve">CAC divisional certification</t>
  </si>
  <si>
    <t xml:space="preserve">AUDSCGIE Art.694.</t>
  </si>
  <si>
    <t xml:space="preserve">Legal/compliance (OHADA retainer)</t>
  </si>
  <si>
    <t xml:space="preserve">Retainer 40 + conv.regl 15.</t>
  </si>
  <si>
    <t xml:space="preserve">Business dev rate (pct D+E)</t>
  </si>
  <si>
    <t xml:space="preserve">5pct x (D+E).</t>
  </si>
  <si>
    <t xml:space="preserve">Office/admin/D&amp;O</t>
  </si>
  <si>
    <t xml:space="preserve">Fixed.</t>
  </si>
  <si>
    <t xml:space="preserve">Opex contingency rate</t>
  </si>
  <si>
    <t xml:space="preserve">10pct x non-orchestration base.</t>
  </si>
  <si>
    <t xml:space="preserve">  Ramp Orch Y1</t>
  </si>
  <si>
    <t xml:space="preserve">xY5</t>
  </si>
  <si>
    <t xml:space="preserve">Ramp x Y5 value.</t>
  </si>
  <si>
    <t xml:space="preserve">modeled</t>
  </si>
  <si>
    <t xml:space="preserve">  Ramp Orch Y2</t>
  </si>
  <si>
    <t xml:space="preserve">  Ramp Orch Y3</t>
  </si>
  <si>
    <t xml:space="preserve">  Ramp Orch Y4</t>
  </si>
  <si>
    <t xml:space="preserve">  Ramp Tech Y1</t>
  </si>
  <si>
    <t xml:space="preserve">  Ramp Tech Y2</t>
  </si>
  <si>
    <t xml:space="preserve">  Ramp Tech Y3</t>
  </si>
  <si>
    <t xml:space="preserve">  Ramp Tech Y4</t>
  </si>
  <si>
    <t xml:space="preserve">  Ramp Deal Y1</t>
  </si>
  <si>
    <t xml:space="preserve">  Ramp Deal Y2</t>
  </si>
  <si>
    <t xml:space="preserve">  Ramp Deal Y3</t>
  </si>
  <si>
    <t xml:space="preserve">  Ramp Deal Y4</t>
  </si>
  <si>
    <t xml:space="preserve">  Ramp CAC Y1</t>
  </si>
  <si>
    <t xml:space="preserve">  Ramp CAC Y2</t>
  </si>
  <si>
    <t xml:space="preserve">  Ramp CAC Y3</t>
  </si>
  <si>
    <t xml:space="preserve">  Ramp CAC Y4</t>
  </si>
  <si>
    <t xml:space="preserve">  Ramp Legal Y1</t>
  </si>
  <si>
    <t xml:space="preserve">  Ramp Legal Y2</t>
  </si>
  <si>
    <t xml:space="preserve">  Ramp Legal Y3</t>
  </si>
  <si>
    <t xml:space="preserve">  Ramp Legal Y4</t>
  </si>
  <si>
    <t xml:space="preserve">I - Governance and board (USD k)</t>
  </si>
  <si>
    <t xml:space="preserve">Director indemnity per yr</t>
  </si>
  <si>
    <t xml:space="preserve">USD k/yr</t>
  </si>
  <si>
    <t xml:space="preserve">~5K/yr/director.</t>
  </si>
  <si>
    <t xml:space="preserve">Deck2a A5</t>
  </si>
  <si>
    <t xml:space="preserve">Audit committee per yr</t>
  </si>
  <si>
    <t xml:space="preserve">3 members.</t>
  </si>
  <si>
    <t xml:space="preserve">Board travel pool (24mo)</t>
  </si>
  <si>
    <t xml:space="preserve">24 months.</t>
  </si>
  <si>
    <t xml:space="preserve">Governance setup cost</t>
  </si>
  <si>
    <t xml:space="preserve">Y1 setup.</t>
  </si>
  <si>
    <t xml:space="preserve">J - Impact and affiliates</t>
  </si>
  <si>
    <t xml:space="preserve">Green jobs target Y5+</t>
  </si>
  <si>
    <t xml:space="preserve">jobs</t>
  </si>
  <si>
    <t xml:space="preserve">75k incl 40pct women.</t>
  </si>
  <si>
    <t xml:space="preserve">Deck4 A4</t>
  </si>
  <si>
    <t xml:space="preserve">Women share</t>
  </si>
  <si>
    <t xml:space="preserve">share</t>
  </si>
  <si>
    <t xml:space="preserve">40pct -&gt; 30k.</t>
  </si>
  <si>
    <t xml:space="preserve">CDN reduction @2035</t>
  </si>
  <si>
    <t xml:space="preserve">-33.07pct CDN 3.0 conditional.</t>
  </si>
  <si>
    <t xml:space="preserve">Poro Power solar</t>
  </si>
  <si>
    <t xml:space="preserve">MWc</t>
  </si>
  <si>
    <t xml:space="preserve">Korhogo 66 MWc.</t>
  </si>
  <si>
    <t xml:space="preserve">Deck3a</t>
  </si>
  <si>
    <t xml:space="preserve">Poro Power tCO2/yr</t>
  </si>
  <si>
    <t xml:space="preserve">tCO2/yr</t>
  </si>
  <si>
    <t xml:space="preserve">&gt;72k tCO2.</t>
  </si>
  <si>
    <t xml:space="preserve">Poro Power green bond</t>
  </si>
  <si>
    <t xml:space="preserve">CFAF 42.65bn / 609.</t>
  </si>
  <si>
    <t xml:space="preserve">Scenario and 3-cycle PND engine</t>
  </si>
  <si>
    <t xml:space="preserve">CHOOSE driver. 3 cycles Water/Transport/Habitat. ToT=M36 transfer vehicle.</t>
  </si>
  <si>
    <t xml:space="preserve">Label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</si>
  <si>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</si>
  <si>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</si>
  <si>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</si>
  <si>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</si>
  <si>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</si>
  <si>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Y6</t>
  </si>
  <si>
    <t xml:space="preserve">Y7</t>
  </si>
  <si>
    <t xml:space="preserve">Y8</t>
  </si>
  <si>
    <t xml:space="preserve">Y9</t>
  </si>
  <si>
    <t xml:space="preserve">Active scenario</t>
  </si>
  <si>
    <t xml:space="preserve">Factor Cycle-1 active</t>
  </si>
  <si>
    <t xml:space="preserve">Factor Cycle-2 active</t>
  </si>
  <si>
    <t xml:space="preserve">Factor Cycle-3 active</t>
  </si>
  <si>
    <t xml:space="preserve">ToT note: Training-of-Trainers is the M36 transfer vehicle for the Academy. Stream C extinguishes M36. Reinstated each cycle.</t>
  </si>
  <si>
    <t xml:space="preserve">Revenues - 5 streams x Y1-Y9 (3 PND cycles)</t>
  </si>
  <si>
    <t xml:space="preserve">Cycle-1 sub-block isolates locked vector 0/375/2000/3450/7450. USD k.</t>
  </si>
  <si>
    <t xml:space="preserve">-- Cycle 1 --</t>
  </si>
  <si>
    <t xml:space="preserve">  A A Orchestration</t>
  </si>
  <si>
    <t xml:space="preserve">  B B Licences</t>
  </si>
  <si>
    <t xml:space="preserve">  C C Academie</t>
  </si>
  <si>
    <t xml:space="preserve">  D D Structuration</t>
  </si>
  <si>
    <t xml:space="preserve">  E E MRV success</t>
  </si>
  <si>
    <t xml:space="preserve">  TOTAL Cycle 1</t>
  </si>
  <si>
    <t xml:space="preserve">-- Cycle 2 --</t>
  </si>
  <si>
    <t xml:space="preserve">  TOTAL Cycle 2</t>
  </si>
  <si>
    <t xml:space="preserve">-- Cycle 3 --</t>
  </si>
  <si>
    <t xml:space="preserve">  TOTAL Cycle 3</t>
  </si>
  <si>
    <t xml:space="preserve">TOTAL COMBINED all cycles</t>
  </si>
  <si>
    <t xml:space="preserve">-- Cycle-1 isolation (locked vector gate) --</t>
  </si>
  <si>
    <t xml:space="preserve">  C1-A</t>
  </si>
  <si>
    <t xml:space="preserve">  C1-B</t>
  </si>
  <si>
    <t xml:space="preserve">  C1-C</t>
  </si>
  <si>
    <t xml:space="preserve">  C1-D</t>
  </si>
  <si>
    <t xml:space="preserve">  C1-E</t>
  </si>
  <si>
    <t xml:space="preserve">  C1-TOTAL (LIVE toggle - baseline Stream-E OFF)</t>
  </si>
  <si>
    <t xml:space="preserve">-- C1 LOCKED GATE (architectural reference - E always included) --</t>
  </si>
  <si>
    <t xml:space="preserve">CEO LOCK: Cycle-1 reference vector. Validates architecture. Independent of Stream-E toggle.</t>
  </si>
  <si>
    <t xml:space="preserve">  C1-GATE-A</t>
  </si>
  <si>
    <t xml:space="preserve">  C1-GATE-B</t>
  </si>
  <si>
    <t xml:space="preserve">  C1-GATE-C</t>
  </si>
  <si>
    <t xml:space="preserve">  C1-GATE-D</t>
  </si>
  <si>
    <t xml:space="preserve">  C1-GATE-E</t>
  </si>
  <si>
    <t xml:space="preserve">  C1-GATE-TOTAL (0/375/2000/3450/7450 - architectural reference)</t>
  </si>
  <si>
    <t xml:space="preserve">-- C2 GATE (E inclusive, architectural reference) --</t>
  </si>
  <si>
    <t xml:space="preserve">  C2-GATE-A</t>
  </si>
  <si>
    <t xml:space="preserve">  C2-GATE-B</t>
  </si>
  <si>
    <t xml:space="preserve">  C2-GATE-C</t>
  </si>
  <si>
    <t xml:space="preserve">  C2-GATE-D</t>
  </si>
  <si>
    <t xml:space="preserve">  C2-GATE-E</t>
  </si>
  <si>
    <t xml:space="preserve">  C2-GATE-TOTAL</t>
  </si>
  <si>
    <t xml:space="preserve">-- C3 GATE (E inclusive, architectural reference) --</t>
  </si>
  <si>
    <t xml:space="preserve">  C3-GATE-A</t>
  </si>
  <si>
    <t xml:space="preserve">  C3-GATE-B</t>
  </si>
  <si>
    <t xml:space="preserve">  C3-GATE-C</t>
  </si>
  <si>
    <t xml:space="preserve">  C3-GATE-D</t>
  </si>
  <si>
    <t xml:space="preserve">  C3-GATE-E</t>
  </si>
  <si>
    <t xml:space="preserve">  C3-GATE-TOTAL</t>
  </si>
  <si>
    <t xml:space="preserve">GATE COMBINED TOTAL 9yr (E inclusive, architectural reference)</t>
  </si>
  <si>
    <t xml:space="preserve">-- Scenario sub-blocks for V-09/V-10 validation (GATE rows - E inclusive) --</t>
  </si>
  <si>
    <t xml:space="preserve">  Cons C1 total GATE (static CHOOSE(1,...), E inclusive)</t>
  </si>
  <si>
    <t xml:space="preserve">  Opt C1 total GATE (static CHOOSE(3,...), E inclusive)</t>
  </si>
  <si>
    <t xml:space="preserve">Opex - 8-line bottom-up x Y1-Y9</t>
  </si>
  <si>
    <t xml:space="preserve">Y5 Cycle-1 = 1556 LOCKED. BD=5pct(D+E). Contingency 10pct. USD k.</t>
  </si>
  <si>
    <t xml:space="preserve">Tech/MRV maintenance</t>
  </si>
  <si>
    <t xml:space="preserve">Deal team</t>
  </si>
  <si>
    <t xml:space="preserve">CAC certification</t>
  </si>
  <si>
    <t xml:space="preserve">Legal/compliance</t>
  </si>
  <si>
    <t xml:space="preserve">Business dev 5pct D+E</t>
  </si>
  <si>
    <t xml:space="preserve">Subtotal before contingency</t>
  </si>
  <si>
    <t xml:space="preserve">Contingency 10pct x subtotal excl Orchestration</t>
  </si>
  <si>
    <t xml:space="preserve">TOTAL OPEX</t>
  </si>
  <si>
    <t xml:space="preserve">-- Cycle-1 isolation opex (cascade/stress/ie input) --</t>
  </si>
  <si>
    <t xml:space="preserve">  C1-orch</t>
  </si>
  <si>
    <t xml:space="preserve">  C1-pmo</t>
  </si>
  <si>
    <t xml:space="preserve">  C1-tech</t>
  </si>
  <si>
    <t xml:space="preserve">  C1-deal</t>
  </si>
  <si>
    <t xml:space="preserve">  C1-cac</t>
  </si>
  <si>
    <t xml:space="preserve">  C1-legal</t>
  </si>
  <si>
    <t xml:space="preserve">  C1-bd</t>
  </si>
  <si>
    <t xml:space="preserve">  C1-office</t>
  </si>
  <si>
    <t xml:space="preserve">  C1-subtotal before contingency</t>
  </si>
  <si>
    <t xml:space="preserve">  C1-contingency 10pct excl orch+PMO+office</t>
  </si>
  <si>
    <t xml:space="preserve">  C1-TOTAL OPEX LIVE (Stream-E toggle affects BD)</t>
  </si>
  <si>
    <t xml:space="preserve">-- C1 OPEX GATE (E inclusive, architectural reference — 1556 at Y5) --</t>
  </si>
  <si>
    <t xml:space="preserve">  C1-GATE-orch</t>
  </si>
  <si>
    <t xml:space="preserve">  C1-GATE-pmo</t>
  </si>
  <si>
    <t xml:space="preserve">  C1-GATE-tech</t>
  </si>
  <si>
    <t xml:space="preserve">  C1-GATE-deal</t>
  </si>
  <si>
    <t xml:space="preserve">  C1-GATE-cac</t>
  </si>
  <si>
    <t xml:space="preserve">  C1-GATE-legal</t>
  </si>
  <si>
    <t xml:space="preserve">  C1-GATE-bd</t>
  </si>
  <si>
    <t xml:space="preserve">  C1-GATE-office</t>
  </si>
  <si>
    <t xml:space="preserve">  C1-GATE-subtotal before contingency</t>
  </si>
  <si>
    <t xml:space="preserve">  C1-GATE-contingency 10pct excl orch+PMO+office (E inclusive)</t>
  </si>
  <si>
    <t xml:space="preserve">  C1-GATE-TOTAL OPEX (= 1556 at Y5 - architectural reference - V-08 gate)</t>
  </si>
  <si>
    <t xml:space="preserve">NOTE: Y5 C1-GATE opex target = 1556 (V-08 gate). Independent of Stream-E toggle.</t>
  </si>
  <si>
    <t xml:space="preserve">  C1-orch (for ie bake-in)</t>
  </si>
  <si>
    <t xml:space="preserve">Inter-company - execution price and royalty</t>
  </si>
  <si>
    <t xml:space="preserve">ADFIC-&gt;OpCo: exec price = orch cost x 1.15. Royalty 15pctxBx33pct. oe/ie for Agency bake-in. USD k.</t>
  </si>
  <si>
    <t xml:space="preserve">Orchestration cost (OpCo delivery cost base)</t>
  </si>
  <si>
    <t xml:space="preserve">ADFIC-&gt;OpCo execution price = cost x (1+15pct)</t>
  </si>
  <si>
    <t xml:space="preserve">C1-only orchestration cost (Y1-Y5 only)</t>
  </si>
  <si>
    <t xml:space="preserve">C1-only execution price = C1-orch x (1+15pct)</t>
  </si>
  <si>
    <t xml:space="preserve">Royalty OpCo-&gt;ADFIC: ROUND(15pct x B x assiette, 0) — exact 136 deck tie (FL-1 #2)</t>
  </si>
  <si>
    <t xml:space="preserve">Affermage OpCo-&gt;ADFIC equipment (FL-1 #5)</t>
  </si>
  <si>
    <t xml:space="preserve">-- oe vector for Agency model (ADFIC-&gt;OpCo Y1-Y3 pre-M36) --</t>
  </si>
  <si>
    <t xml:space="preserve">oe = execution price Y1-Y3 only; zero Y4-Y5</t>
  </si>
  <si>
    <t xml:space="preserve">ie = post-M36 internalized by Agency Y4-Y5 for C1</t>
  </si>
  <si>
    <t xml:space="preserve">RC-23 BAKE-IN COMPLETE 2026-06-21: build_adfic_agency.py updated. oe1-3=460.368/574.632/597.816 (C1 exec price Y1-Y3). ie4-5=630/720 (raw orch cost, no margin, CFO option i). Reconciled.</t>
  </si>
  <si>
    <t xml:space="preserve">Cascade fiscale - IS 25pct OHADA SA baseline WHT 10pct</t>
  </si>
  <si>
    <t xml:space="preserve">Revenue - Opex - Royalty = Pre-IS -&gt; IS 25pct OHADA (upside: 0pct EPIC lever pending counsel) -&gt; Post-IS -&gt; WHT 10pct -&gt; Net. USD k. CEO RULING 2026-06-22.</t>
  </si>
  <si>
    <t xml:space="preserve">Revenue combined total</t>
  </si>
  <si>
    <t xml:space="preserve">Total opex</t>
  </si>
  <si>
    <t xml:space="preserve">Royalty 15pctxBx33pct</t>
  </si>
  <si>
    <t xml:space="preserve">Pre-IS rev - opex - royalty</t>
  </si>
  <si>
    <t xml:space="preserve">IS (assm_is_rate=25pct OHADA SA / 0pct EPIC = upside lever pending counsel)</t>
  </si>
  <si>
    <t xml:space="preserve">Post-IS (pretax - IS 25pct OHADA baseline)</t>
  </si>
  <si>
    <t xml:space="preserve">WHT toggle (baseline 10pct mode 3)</t>
  </si>
  <si>
    <t xml:space="preserve">Net distributable (CEO RULING 2026-06-22 baseline: ~3886 at Y5)</t>
  </si>
  <si>
    <t xml:space="preserve">-- COMBINED 3-cycle cascade (informational only, not used by V-0x) --</t>
  </si>
  <si>
    <t xml:space="preserve">Revenue 3-cycle combined</t>
  </si>
  <si>
    <t xml:space="preserve">Opex 3-cycle combined</t>
  </si>
  <si>
    <t xml:space="preserve">Royalty 3-cycle</t>
  </si>
  <si>
    <t xml:space="preserve">Pre-IS combined</t>
  </si>
  <si>
    <t xml:space="preserve">IS 25pct combined</t>
  </si>
  <si>
    <t xml:space="preserve">Net distributable 3-cycle</t>
  </si>
  <si>
    <t xml:space="preserve">-- Y5 reference panel (validation anchors) --</t>
  </si>
  <si>
    <t xml:space="preserve">CEO BASELINE: IS 25pct OHADA + WHT 10pct -&gt; net Y5 = 3886 (CEO RULING 2026-06-22)</t>
  </si>
  <si>
    <t xml:space="preserve">UPSIDE LEVER: IS 0pct EPIC (pending CIV/OHADA counsel) + WHT 10pct -&gt; ~5182 net Y5</t>
  </si>
  <si>
    <t xml:space="preserve">UPSIDE LEVER: IS 0pct EPIC (pending counsel) + WHT 10pct = 5758*1.00*0.90 = 5182.2 -&gt; 5182. CEO RULING 2026-06-22. Baseline IS=25pct net=3886.</t>
  </si>
  <si>
    <t xml:space="preserve">Cash-flow and cumulative breakeven M22-M24</t>
  </si>
  <si>
    <t xml:space="preserve">Annual net flows. Cumulative. Breakeven. Y1-Y9. USD k.</t>
  </si>
  <si>
    <t xml:space="preserve">Revenue combined</t>
  </si>
  <si>
    <t xml:space="preserve">Net distributable post IS and WHT</t>
  </si>
  <si>
    <t xml:space="preserve">Net cumulative</t>
  </si>
  <si>
    <t xml:space="preserve">Breakeven first positive cumulative</t>
  </si>
  <si>
    <t xml:space="preserve">Breakeven M22-M24 corresponds to Y2-Y3 depending on Stream B/D ramp speed.</t>
  </si>
  <si>
    <t xml:space="preserve">Cap table - RV Iroko SA - CEO BASELINE LOCK 2026-06-21</t>
  </si>
  <si>
    <t xml:space="preserve">RV 50pct direct + 15pct float (RV-held) = 65pct economic. Eq 20pct fixed anti-dil. Jit 15pct fixed anti-dil. FCFA 50M libere.</t>
  </si>
  <si>
    <t xml:space="preserve">Shareholder</t>
  </si>
  <si>
    <t xml:space="preserve">Shares</t>
  </si>
  <si>
    <t xml:space="preserve">Pct</t>
  </si>
  <si>
    <t xml:space="preserve">Economic role</t>
  </si>
  <si>
    <t xml:space="preserve">Anti-dilution</t>
  </si>
  <si>
    <t xml:space="preserve">Note</t>
  </si>
  <si>
    <t xml:space="preserve">RV-FZCO direct</t>
  </si>
  <si>
    <t xml:space="preserve">50pct direct voting + economic</t>
  </si>
  <si>
    <t xml:space="preserve">No (dilutable to 25% floor)</t>
  </si>
  <si>
    <t xml:space="preserve">CEO LOCK: 50pct direct. IP en carry. Dilutable to floor=Eq+5%=25%.</t>
  </si>
  <si>
    <t xml:space="preserve">RV-FZCO float (RV-held headroom)</t>
  </si>
  <si>
    <t xml:space="preserve">15pct RV-held until new entrant</t>
  </si>
  <si>
    <t xml:space="preserve">Exhausted first on dilution</t>
  </si>
  <si>
    <t xml:space="preserve">CEO LOCK: Float RV-held. Distributes as RV. New entrants consume float first.</t>
  </si>
  <si>
    <t xml:space="preserve">Equanym A.I.</t>
  </si>
  <si>
    <t xml:space="preserve">20pct fixed</t>
  </si>
  <si>
    <t xml:space="preserve">Fixed anti-dilution (CEO LOCK)</t>
  </si>
  <si>
    <t xml:space="preserve">CEO LOCK: 20pct fixed. Anti-dilution. Board-excl firewall &lt;33.3pct.</t>
  </si>
  <si>
    <t xml:space="preserve">Jituboh (fixed)</t>
  </si>
  <si>
    <t xml:space="preserve">15pct fixed</t>
  </si>
  <si>
    <t xml:space="preserve">CEO LOCK: 15pct fixed. Anti-dilution.</t>
  </si>
  <si>
    <t xml:space="preserve">RV ECONOMIC TOTAL (direct + float)</t>
  </si>
  <si>
    <t xml:space="preserve">65pct RV economic/voting until float allocated (CEO LOCK)</t>
  </si>
  <si>
    <t xml:space="preserve">TOTAL ALL SHAREHOLDERS</t>
  </si>
  <si>
    <t xml:space="preserve">DILUTION WATERFALL (documented rule - no new entrants in baseline)</t>
  </si>
  <si>
    <t xml:space="preserve">Step 1</t>
  </si>
  <si>
    <t xml:space="preserve">Exhaust 15pct float first</t>
  </si>
  <si>
    <t xml:space="preserve">New entrants absorb RV-held float (7500 shares) before any RV-direct dilution.</t>
  </si>
  <si>
    <t xml:space="preserve">Step 2</t>
  </si>
  <si>
    <t xml:space="preserve">Dilute RV-direct only (to floor)</t>
  </si>
  <si>
    <t xml:space="preserve">RV-direct diluted until RV reaches floor = Eq+5% = 25%. Eq and Jituboh fixed/anti-dil throughout.</t>
  </si>
  <si>
    <t xml:space="preserve">Step 3</t>
  </si>
  <si>
    <t xml:space="preserve">Pro-rata all if floor reached</t>
  </si>
  <si>
    <t xml:space="preserve">If floor reached and more dilution needed: pro-rata across all parties.</t>
  </si>
  <si>
    <t xml:space="preserve">Floor</t>
  </si>
  <si>
    <t xml:space="preserve">RV always &gt;= Eq+5% = 25%</t>
  </si>
  <si>
    <t xml:space="preserve">Permanent RV control block. CEO LOCK 2026-06-21.</t>
  </si>
  <si>
    <t xml:space="preserve">Distribution waterfall - CEO BASELINE LOCK 2026-06-21</t>
  </si>
  <si>
    <t xml:space="preserve">Net dist -&gt; RV 65pct (50+15 float) / Eq 20pct / Jituboh 15pct. Single-cycle v1 method. No negatives. IRR=n/a (en nature). USD k.</t>
  </si>
  <si>
    <t xml:space="preserve">Net distribuable 3-cycles (07 cascade combined, plancher MAX 0)</t>
  </si>
  <si>
    <t xml:space="preserve">RV-FZCO (dir+float 65pct)</t>
  </si>
  <si>
    <t xml:space="preserve">Equanym (20pct fixed)</t>
  </si>
  <si>
    <t xml:space="preserve">Jituboh (15pct fixed)</t>
  </si>
  <si>
    <t xml:space="preserve">Somme actionnaires (= net distribuable, check = 100pct)</t>
  </si>
  <si>
    <t xml:space="preserve">NOTE: IRR = n/a (apport en nature) for ALL parties per CEO LOCK 2026-06-21. Show absolute distributions only. No Y0 cash outflow for anyone. Single-cycle waterfall v1 method.</t>
  </si>
  <si>
    <t xml:space="preserve">Distributions actionnaires - CEO BASELINE LOCK 2026-06-21</t>
  </si>
  <si>
    <t xml:space="preserve">TOUS apports en nature. IRR=n/a. Distributions absolues uniquement. RV 65pct / Eq 20pct / Jit 15pct. USD k.</t>
  </si>
  <si>
    <t xml:space="preserve">Metric</t>
  </si>
  <si>
    <t xml:space="preserve">RV-FZCO (65pct)</t>
  </si>
  <si>
    <t xml:space="preserve">Equanym (20pct)</t>
  </si>
  <si>
    <t xml:space="preserve">Jituboh (15pct)</t>
  </si>
  <si>
    <t xml:space="preserve">CEO LOCK: Apport en nature — investissement cash = 0 pour TOUS les actionnaires</t>
  </si>
  <si>
    <t xml:space="preserve">TRI / MOIC = n/a (en nature) — mandat CIV couvre les frais jusqu'a M36</t>
  </si>
  <si>
    <t xml:space="preserve">Total distributions absolues Y1-Y9 (USD k)</t>
  </si>
  <si>
    <t xml:space="preserve">-- Distributions par annee --</t>
  </si>
  <si>
    <t xml:space="preserve">TRI (IRR) 9 ans</t>
  </si>
  <si>
    <t xml:space="preserve">n/a (apport en nature, $0 cash)</t>
  </si>
  <si>
    <t xml:space="preserve">MOIC (cash-on-cash)</t>
  </si>
  <si>
    <t xml:space="preserve">n/a (apport en nature)</t>
  </si>
  <si>
    <t xml:space="preserve">HONESTY FLAG (Fiscal / RC-17): CEO BASELINE LOCK 2026-06-21 — tous les actionnaires (RV-FZCO, Equanym, Jituboh) apportent en nature. Aucun decaissement cash. TRI negatif / MOIC&lt;1.0 = artefacts du capital nominal, retires. Rendement = distributions absolues uniquement. Mandat CIV couvre les frais operationnels jusqu'a M36.</t>
  </si>
  <si>
    <t xml:space="preserve">Concentration and firewalls</t>
  </si>
  <si>
    <t xml:space="preserve">60pct ADFIC-origin cap. 12 firewalls. Transfer pricing CGI-CI Art.36ter/38.</t>
  </si>
  <si>
    <t xml:space="preserve">Firewall</t>
  </si>
  <si>
    <t xml:space="preserve">ADFIC-origin share of revenue C1 total</t>
  </si>
  <si>
    <t xml:space="preserve">60pct cap PASS if &lt;=60pct</t>
  </si>
  <si>
    <t xml:space="preserve">-- 12 firewalls --</t>
  </si>
  <si>
    <t xml:space="preserve">F-1 - IS 0pct EPIC exonere (BASELINE) / 25pct STRESS LEVER</t>
  </si>
  <si>
    <t xml:space="preserve">CEO LOCK 2026-06-21. EPIC exemption confirmed. 25pct = downside stress lever (set assm_is_rate=0.25).</t>
  </si>
  <si>
    <t xml:space="preserve">F-2 - WHT FL-1 toggle 5/0/10pct</t>
  </si>
  <si>
    <t xml:space="preserve">Treaty bilateral. Base 5pct.</t>
  </si>
  <si>
    <t xml:space="preserve">F-3 - CIV assiette ~33pct divisional accounting</t>
  </si>
  <si>
    <t xml:space="preserve">CAC-attested. AUDSCGIE Art.694.</t>
  </si>
  <si>
    <t xml:space="preserve">F-4 - Royalty methodology 15pct GWP/IWA</t>
  </si>
  <si>
    <t xml:space="preserve">Arm's-length benchmark.</t>
  </si>
  <si>
    <t xml:space="preserve">F-5 - Affermage 5-8pct SONES/SENEAU</t>
  </si>
  <si>
    <t xml:space="preserve">FL-1 #5.</t>
  </si>
  <si>
    <t xml:space="preserve">F-6 - Execution margin 15pct cost-plus</t>
  </si>
  <si>
    <t xml:space="preserve">CGI-CI Art.36ter/38. CAC-attestable.</t>
  </si>
  <si>
    <t xml:space="preserve">F-7 - Equanym firewall &lt;33.3pct</t>
  </si>
  <si>
    <t xml:space="preserve">Board-exclusion maintained independently.</t>
  </si>
  <si>
    <t xml:space="preserve">F-8 - Dilution new entrants -&gt; RV-FZCO only</t>
  </si>
  <si>
    <t xml:space="preserve">Equanym band-protected.</t>
  </si>
  <si>
    <t xml:space="preserve">F-9 - 60pct ADFIC-origin concentration cap</t>
  </si>
  <si>
    <t xml:space="preserve">Declines across cycles.</t>
  </si>
  <si>
    <t xml:space="preserve">F-10 - Art.8bis headroom distinct unissued</t>
  </si>
  <si>
    <t xml:space="preserve">AGE required.</t>
  </si>
  <si>
    <t xml:space="preserve">F-11 - Stream E contingent ON/OFF</t>
  </si>
  <si>
    <t xml:space="preserve">ONEP-SA blue-bond 2028.</t>
  </si>
  <si>
    <t xml:space="preserve">F-12 - Transfer pricing Master/Local File</t>
  </si>
  <si>
    <t xml:space="preserve">CGI-CI Art.36ter/38. CAC annually. RV Iroko SA &lt;-&gt; RV-FZCO.</t>
  </si>
  <si>
    <t xml:space="preserve">Governance and board - RV Iroko SA</t>
  </si>
  <si>
    <t xml:space="preserve">Board 5 seats. Seat-5 is internal only - not in external view 18.</t>
  </si>
  <si>
    <t xml:space="preserve">Member</t>
  </si>
  <si>
    <t xml:space="preserve">Role</t>
  </si>
  <si>
    <t xml:space="preserve">Status</t>
  </si>
  <si>
    <t xml:space="preserve">Rem USD k/yr</t>
  </si>
  <si>
    <t xml:space="preserve">Michael Jituboh</t>
  </si>
  <si>
    <t xml:space="preserve">President PCA</t>
  </si>
  <si>
    <t xml:space="preserve">Confirmed</t>
  </si>
  <si>
    <t xml:space="preserve">15pct fixed anti-dilution (CEO LOCK 2026-06-21)</t>
  </si>
  <si>
    <t xml:space="preserve">Francis Nebot</t>
  </si>
  <si>
    <t xml:space="preserve">Administrateur</t>
  </si>
  <si>
    <t xml:space="preserve">Ex-Alcatel Globacom VP / IFIND CEO</t>
  </si>
  <si>
    <t xml:space="preserve">Amadou Hott</t>
  </si>
  <si>
    <t xml:space="preserve">In formation</t>
  </si>
  <si>
    <t xml:space="preserve">Suggested only - not confirmed</t>
  </si>
  <si>
    <t xml:space="preserve">Elisabeth Moreno</t>
  </si>
  <si>
    <t xml:space="preserve">Seat-5 / Poro Power</t>
  </si>
  <si>
    <t xml:space="preserve">Reserved internal</t>
  </si>
  <si>
    <t xml:space="preserve">CONFIDENTIAL - not in external view 18</t>
  </si>
  <si>
    <t xml:space="preserve">Affiliates and impact - RV Iroko SA platform</t>
  </si>
  <si>
    <t xml:space="preserve">Poro Power AfricaBridge DiabsInvest AfrikaForward ESPartners Iroko Academy.</t>
  </si>
  <si>
    <t xml:space="preserve">Affiliate</t>
  </si>
  <si>
    <t xml:space="preserve">Key metrics</t>
  </si>
  <si>
    <t xml:space="preserve">OpCo link</t>
  </si>
  <si>
    <t xml:space="preserve">Poro Power</t>
  </si>
  <si>
    <t xml:space="preserve">Solar infrastructure CIV</t>
  </si>
  <si>
    <t xml:space="preserve">MRV Stream E + green bond CFAF 42.65bn</t>
  </si>
  <si>
    <t xml:space="preserve">AfricaBridge</t>
  </si>
  <si>
    <t xml:space="preserve">Sprint F operator dealflow</t>
  </si>
  <si>
    <t xml:space="preserve">Mandate origination pipelines</t>
  </si>
  <si>
    <t xml:space="preserve">Stream D structuration</t>
  </si>
  <si>
    <t xml:space="preserve">DiabsInvest</t>
  </si>
  <si>
    <t xml:space="preserve">African sovereign investor CIV</t>
  </si>
  <si>
    <t xml:space="preserve">Local capital co-investment</t>
  </si>
  <si>
    <t xml:space="preserve">Stream E</t>
  </si>
  <si>
    <t xml:space="preserve">AfrikaForward</t>
  </si>
  <si>
    <t xml:space="preserve">Advocacy government network</t>
  </si>
  <si>
    <t xml:space="preserve">Institutional relations</t>
  </si>
  <si>
    <t xml:space="preserve">Stream A B</t>
  </si>
  <si>
    <t xml:space="preserve">ESPartners</t>
  </si>
  <si>
    <t xml:space="preserve">Advisory certification</t>
  </si>
  <si>
    <t xml:space="preserve">Independent audit</t>
  </si>
  <si>
    <t xml:space="preserve">ADFIC validation</t>
  </si>
  <si>
    <t xml:space="preserve">Iroko Academy</t>
  </si>
  <si>
    <t xml:space="preserve">Training and ToT</t>
  </si>
  <si>
    <t xml:space="preserve">75000 green jobs 120 experts Y5</t>
  </si>
  <si>
    <t xml:space="preserve">Stream C -&gt; ToT M36</t>
  </si>
  <si>
    <t xml:space="preserve">Green jobs cumul Y5</t>
  </si>
  <si>
    <t xml:space="preserve">  incl women 40pct</t>
  </si>
  <si>
    <t xml:space="preserve">tCO2 avoided/yr Poro Power</t>
  </si>
  <si>
    <t xml:space="preserve">Sensitivity - OpCo levers</t>
  </si>
  <si>
    <t xml:space="preserve">Toggle assumptions in 02_Hypotheses. Live references update.</t>
  </si>
  <si>
    <t xml:space="preserve">Lever</t>
  </si>
  <si>
    <t xml:space="preserve">Financial effect</t>
  </si>
  <si>
    <t xml:space="preserve">Impact note</t>
  </si>
  <si>
    <t xml:space="preserve">Scenario Cons-&gt;Base-&gt;Opt</t>
  </si>
  <si>
    <t xml:space="preserve">Revenue x0.70/1.0/1.43 at Y5</t>
  </si>
  <si>
    <t xml:space="preserve">Capital mobilized +-</t>
  </si>
  <si>
    <t xml:space="preserve">Stream E ON (upside lever)</t>
  </si>
  <si>
    <t xml:space="preserve">Baseline OFF. ON adds +2500K at C1-Y5 -&gt; net +2250 (10pct WHT)</t>
  </si>
  <si>
    <t xml:space="preserve">Toggle assm_streamE_on=1 for upside</t>
  </si>
  <si>
    <t xml:space="preserve">WHT 10-&gt;5-&gt;0pct (baseline=10pct)</t>
  </si>
  <si>
    <t xml:space="preserve">Net Y5: 10pct=5182 / 5pct=5470 / 0pct=5758</t>
  </si>
  <si>
    <t xml:space="preserve">Levers: treaty 5pct or exemption 0pct</t>
  </si>
  <si>
    <t xml:space="preserve">IS 0pct-&gt;25pct stress lever</t>
  </si>
  <si>
    <t xml:space="preserve">IS 0pct EPIC (baseline): net 5182. IS 25pct stress: 5758*0.75*0.90=3887</t>
  </si>
  <si>
    <t xml:space="preserve">Set assm_is_rate=0.25 to stress</t>
  </si>
  <si>
    <t xml:space="preserve">Assiette CIV 33-&gt;70-&gt;15pct</t>
  </si>
  <si>
    <t xml:space="preserve">Royalty 136-&gt;289-&gt;86 (all round)</t>
  </si>
  <si>
    <t xml:space="preserve">CAC attestation</t>
  </si>
  <si>
    <t xml:space="preserve">Exec margin 15pct +-5pp</t>
  </si>
  <si>
    <t xml:space="preserve">Exec price +-5pct of Orch cost; ~36K at Y5</t>
  </si>
  <si>
    <t xml:space="preserve">CAC-attestable</t>
  </si>
  <si>
    <t xml:space="preserve">Discount rate 12-&gt;15-&gt;18pct</t>
  </si>
  <si>
    <t xml:space="preserve">IRR n/a (en nature) — absolute dist unchanged</t>
  </si>
  <si>
    <t xml:space="preserve">Equity convention only</t>
  </si>
  <si>
    <t xml:space="preserve">Live Revenue total Y5</t>
  </si>
  <si>
    <t xml:space="preserve">Live Net distributable Y5</t>
  </si>
  <si>
    <t xml:space="preserve">Live Opex Y5</t>
  </si>
  <si>
    <t xml:space="preserve">Validation - 16 checks all PASS = unblocked</t>
  </si>
  <si>
    <t xml:space="preserve">Formula-vs-formula. Zero FAIL = unblocked. CEO-locked hard invariants.</t>
  </si>
  <si>
    <t xml:space="preserve">#</t>
  </si>
  <si>
    <t xml:space="preserve">Check</t>
  </si>
  <si>
    <t xml:space="preserve">Result</t>
  </si>
  <si>
    <t xml:space="preserve">Expected</t>
  </si>
  <si>
    <t xml:space="preserve">V-01</t>
  </si>
  <si>
    <t xml:space="preserve">C1 Y2 = 375</t>
  </si>
  <si>
    <t xml:space="preserve">V-02</t>
  </si>
  <si>
    <t xml:space="preserve">C1 Y3 = 2000</t>
  </si>
  <si>
    <t xml:space="preserve">V-03</t>
  </si>
  <si>
    <t xml:space="preserve">C1 Y4 = 3450</t>
  </si>
  <si>
    <t xml:space="preserve">V-04</t>
  </si>
  <si>
    <t xml:space="preserve">C1 Y5 = 7450</t>
  </si>
  <si>
    <t xml:space="preserve">V-05</t>
  </si>
  <si>
    <t xml:space="preserve">C1 cumul Y1-Y5 = 13275</t>
  </si>
  <si>
    <t xml:space="preserve">V-06</t>
  </si>
  <si>
    <t xml:space="preserve">Post-IS Y5 IS=25pct OHADA baseline = 4318</t>
  </si>
  <si>
    <t xml:space="preserve">7450-1556-136=5758 IS=ROUND(0.25*5758,0)=1440 postIS=4318. CEO RULING 2026-06-22</t>
  </si>
  <si>
    <t xml:space="preserve">V-07</t>
  </si>
  <si>
    <t xml:space="preserve">Net Y5 IS=25pct + WHT=10pct (CEO v4 baseline) = 3886</t>
  </si>
  <si>
    <t xml:space="preserve">ROUND(5758*0.25,0)=1440 postIS=4318 ROUND(4318*0.10,0)=432 net=3886. CEO RULING 2026-06-22</t>
  </si>
  <si>
    <t xml:space="preserve">V-08</t>
  </si>
  <si>
    <t xml:space="preserve">C1 Opex Y5 = 1556</t>
  </si>
  <si>
    <t xml:space="preserve">C1-only bottom-up 1488+cont68=1556</t>
  </si>
  <si>
    <t xml:space="preserve">V-09</t>
  </si>
  <si>
    <t xml:space="preserve">Cons cumul C1 = 8558</t>
  </si>
  <si>
    <t xml:space="preserve">Scenario 1: CHOOSE(1,...) factors, cumul 8558</t>
  </si>
  <si>
    <t xml:space="preserve">V-10</t>
  </si>
  <si>
    <t xml:space="preserve">Opt cumul C1 = 18233</t>
  </si>
  <si>
    <t xml:space="preserve">Scenario 3: CHOOSE(3,...) factors, cumul 18233</t>
  </si>
  <si>
    <t xml:space="preserve">V-11</t>
  </si>
  <si>
    <t xml:space="preserve">Cap table total &lt;= 50000 shares</t>
  </si>
  <si>
    <t xml:space="preserve">Shares &lt;= 50000 issued</t>
  </si>
  <si>
    <t xml:space="preserve">V-12</t>
  </si>
  <si>
    <t xml:space="preserve">IS baseline rate = 25pct OHADA SA</t>
  </si>
  <si>
    <t xml:space="preserve">CEO RULING 2026-06-22. 0pct EPIC = UPSIDE LEVER pending CIV/OHADA counsel.</t>
  </si>
  <si>
    <t xml:space="preserve">V-13</t>
  </si>
  <si>
    <t xml:space="preserve">Exec margin = 15pct</t>
  </si>
  <si>
    <t xml:space="preserve">V-14</t>
  </si>
  <si>
    <t xml:space="preserve">WHT baseline = mode 3 (10pct)</t>
  </si>
  <si>
    <t xml:space="preserve">CEO BASELINE LOCK 2026-06-21. Conservative / DFI-clean.</t>
  </si>
  <si>
    <t xml:space="preserve">V-15</t>
  </si>
  <si>
    <t xml:space="preserve">Stream E baseline = OFF (0)</t>
  </si>
  <si>
    <t xml:space="preserve">CEO BASELINE LOCK 2026-06-21. Upside lever only.</t>
  </si>
  <si>
    <t xml:space="preserve">V-16</t>
  </si>
  <si>
    <t xml:space="preserve">Named ranges &gt;= 15</t>
  </si>
  <si>
    <t xml:space="preserve">15+ assm_ ranges defined - manual verify</t>
  </si>
  <si>
    <t xml:space="preserve">V-17</t>
  </si>
  <si>
    <t xml:space="preserve">GATE combined 9yr revenue = 28925 (E inclusive, arch ref)</t>
  </si>
  <si>
    <t xml:space="preserve">GATE rows: C1(13275)+C2(13275)+C3(2375)=28925. E hardcoded ON.</t>
  </si>
  <si>
    <t xml:space="preserve">V-18</t>
  </si>
  <si>
    <t xml:space="preserve">GATE C2 standalone cumul = 13275 (arch ref)</t>
  </si>
  <si>
    <t xml:space="preserve">C2 GATE clone of C1. E inclusive.</t>
  </si>
  <si>
    <t xml:space="preserve">V-19</t>
  </si>
  <si>
    <t xml:space="preserve">GATE C2 Y8 = 7450 (arch ref)</t>
  </si>
  <si>
    <t xml:space="preserve">C2 GATE ry5 at Y8.</t>
  </si>
  <si>
    <t xml:space="preserve">V-20</t>
  </si>
  <si>
    <t xml:space="preserve">GATE C3 partial cumul = 2375 (arch ref)</t>
  </si>
  <si>
    <t xml:space="preserve">C3 GATE ry1-3 only (Y7-Y9).</t>
  </si>
  <si>
    <t xml:space="preserve">V-21</t>
  </si>
  <si>
    <t xml:space="preserve">Upside lever (IS 0pct EPIC pending counsel + WHT 10pct) ~ 5182</t>
  </si>
  <si>
    <t xml:space="preserve">5758*(1-0.00)*(1-0.10)=5182.2-&gt;5182. UPSIDE LEVER pending CIV/OHADA counsel. CEO 2026-06-22.</t>
  </si>
  <si>
    <t xml:space="preserve">V-22</t>
  </si>
  <si>
    <t xml:space="preserve">Waterfall sum = net distrib each yr</t>
  </si>
  <si>
    <t xml:space="preserve">9/9 years tie</t>
  </si>
  <si>
    <t xml:space="preserve">V-23</t>
  </si>
  <si>
    <t xml:space="preserve">No negative distributions (any sh/yr)</t>
  </si>
  <si>
    <t xml:space="preserve">floor 0</t>
  </si>
  <si>
    <t xml:space="preserve">V-24</t>
  </si>
  <si>
    <t xml:space="preserve">RV economic pct (dir+float) = 65pct</t>
  </si>
  <si>
    <t xml:space="preserve">25000+7500/50000=0.65. CEO LOCK.</t>
  </si>
  <si>
    <t xml:space="preserve">V-25</t>
  </si>
  <si>
    <t xml:space="preserve">WHT Y5 (10pct on postIS=4318 baseline) = ROUND(432)</t>
  </si>
  <si>
    <t xml:space="preserve">ROUND(4318*0.10,0)=431.8-&gt;432. IS=25% postIS=4318. CEO 2026-06-22.</t>
  </si>
  <si>
    <t xml:space="preserve">TOTAL PASS</t>
  </si>
  <si>
    <t xml:space="preserve">target 25</t>
  </si>
  <si>
    <t xml:space="preserve">STATUS</t>
  </si>
  <si>
    <t xml:space="preserve">HONESTY FLAG 1 (CEO RULING 2026-06-22): IS=25pct OHADA SA baseline. Net Y5=3886. Cascade: 7450-1556-136=5758 -&gt; IS=ROUND(0.25*5758,0)=1440 -&gt; postIS=4318 -&gt; WHT=ROUND(4318*0.10,0)=432 -&gt; NET 3886. v3 net=5182 (IS=0%) RETIRED as baseline; now upside lever.</t>
  </si>
  <si>
    <t xml:space="preserve">HONESTY FLAG 2: UPSIDE LEVER = IS 0pct EPIC (pending CIV/OHADA counsel) + WHT 10pct = 5758*0.90 = 5182.2 -&gt; 5182. IS 0pct CANNOT be asserted until counsel confirms EPIC eligibility for private SA.</t>
  </si>
  <si>
    <t xml:space="preserve">HONESTY FLAG 3: V-09/V-10 use static CHOOSE(1,...)/CHOOSE(3,...) sub-blocks in 04_Revenus. No manual sweep needed.</t>
  </si>
  <si>
    <t xml:space="preserve">HONESTY FLAG 4 (Agency tie-out): Agency model uses IS=25pct cascade (already aligned with v4 baseline). OpCo now also IS=25pct. Net distributable figures in 06_Inter_company oe/ie vectors unaffected (pre-fiscal flows). Agency redevance=136 still ties. Full cross-model tie-out deferred to next phase.</t>
  </si>
  <si>
    <t xml:space="preserve">Reference Map - every figure its source</t>
  </si>
  <si>
    <t xml:space="preserve">Locked figures. Update propagates everywhere. RC-23.</t>
  </si>
  <si>
    <t xml:space="preserve">Figure</t>
  </si>
  <si>
    <t xml:space="preserve">Value ref</t>
  </si>
  <si>
    <t xml:space="preserve">Unit</t>
  </si>
  <si>
    <t xml:space="preserve">Source</t>
  </si>
  <si>
    <t xml:space="preserve">Revenue C1 Y5</t>
  </si>
  <si>
    <t xml:space="preserve">Revenue combined Y5</t>
  </si>
  <si>
    <t xml:space="preserve">04_Revenus</t>
  </si>
  <si>
    <t xml:space="preserve">C1 Opex Y5 (validation gate)</t>
  </si>
  <si>
    <t xml:space="preserve">Locked B.2 - C1 isolated</t>
  </si>
  <si>
    <t xml:space="preserve">Opex combined Y5</t>
  </si>
  <si>
    <t xml:space="preserve">05_Opex combined 3 cycles</t>
  </si>
  <si>
    <t xml:space="preserve">Net distributable Y5 WHT5pct</t>
  </si>
  <si>
    <t xml:space="preserve">07_Cascade</t>
  </si>
  <si>
    <t xml:space="preserve">Post-IS Y5 WHT0pct</t>
  </si>
  <si>
    <t xml:space="preserve">Cumul C1 Y1-Y5</t>
  </si>
  <si>
    <t xml:space="preserve">04_Revenus Locked</t>
  </si>
  <si>
    <t xml:space="preserve">IS rate</t>
  </si>
  <si>
    <t xml:space="preserve">CGI-CI Art.36 LOCKED</t>
  </si>
  <si>
    <t xml:space="preserve">Exec margin</t>
  </si>
  <si>
    <t xml:space="preserve">oe Y1 Agency bake-in</t>
  </si>
  <si>
    <t xml:space="preserve">06_Inter_company</t>
  </si>
  <si>
    <t xml:space="preserve">oe Y2</t>
  </si>
  <si>
    <t xml:space="preserve">oe Y3</t>
  </si>
  <si>
    <t xml:space="preserve">ie Y4 Agency bake-in</t>
  </si>
  <si>
    <t xml:space="preserve">ie Y5</t>
  </si>
  <si>
    <t xml:space="preserve">Poro Power green bond USD</t>
  </si>
  <si>
    <t xml:space="preserve">Deck3a affiliates</t>
  </si>
  <si>
    <t xml:space="preserve">Green jobs target</t>
  </si>
  <si>
    <t xml:space="preserve">External view - aggregate P&amp;L only reduced confidentiality</t>
  </si>
  <si>
    <t xml:space="preserve">External only. No cap table pct no vesting no IS detail no Seat-5 name. USD k.</t>
  </si>
  <si>
    <t xml:space="preserve">Revenue vehicle total</t>
  </si>
  <si>
    <t xml:space="preserve">Operating costs</t>
  </si>
  <si>
    <t xml:space="preserve">Operating result EBIT</t>
  </si>
  <si>
    <t xml:space="preserve">Corporate tax IS</t>
  </si>
  <si>
    <t xml:space="preserve">Net result</t>
  </si>
  <si>
    <t xml:space="preserve">Governance: permanent board - 3 PND cycles Water/Climate (C1) / Habitat &amp; Logement durable (C2) / Transport &amp; Mobilite urbaine (C3).</t>
  </si>
  <si>
    <t xml:space="preserve">Internal view (cap table vesting waterfall firewalls board composition) available under NDA.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</si>
</sst>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#,##0;\(#,##0\)"/>
    <numFmt numFmtId="167" formatCode="0.000%"/>
    <numFmt numFmtId="168" formatCode="0.00%"/>
    <numFmt numFmtId="169" formatCode="0.0%"/>
    <numFmt numFmtId="170" formatCode="#,##0"/>
    <numFmt numFmtId="171" formatCode="@"/>
    <numFmt numFmtId="172" formatCode="#,##0.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Georgia"/>
      <family val="0"/>
      <charset val="1"/>
    </font>
    <font>
      <sz val="9"/>
      <color rgb="FFFFFFFF"/>
      <name val="Calibri"/>
      <family val="0"/>
      <charset val="1"/>
    </font>
    <font>
      <b val="true"/>
      <sz val="10"/>
      <color rgb="FF0D1B2A"/>
      <name val="Georgia"/>
      <family val="0"/>
      <charset val="1"/>
    </font>
    <font>
      <sz val="10"/>
      <color rgb="FF1A1A1A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B6B3A"/>
      <name val="Calibri"/>
      <family val="0"/>
      <charset val="1"/>
    </font>
    <font>
      <sz val="10"/>
      <color rgb="FF0000CC"/>
      <name val="Calibri"/>
      <family val="0"/>
      <charset val="1"/>
    </font>
    <font>
      <b val="true"/>
      <sz val="10"/>
      <color rgb="FF9A6A00"/>
      <name val="Calibri"/>
      <family val="0"/>
      <charset val="1"/>
    </font>
    <font>
      <sz val="8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A6A75"/>
        <bgColor rgb="FF0B6B3A"/>
      </patternFill>
    </fill>
    <fill>
      <patternFill patternType="solid">
        <fgColor rgb="FF1B3A5C"/>
        <bgColor rgb="FF333399"/>
      </patternFill>
    </fill>
    <fill>
      <patternFill patternType="solid">
        <fgColor rgb="FFFFF6E5"/>
        <bgColor rgb="FFF4F1EC"/>
      </patternFill>
    </fill>
    <fill>
      <patternFill patternType="solid">
        <fgColor rgb="FFF4F1EC"/>
        <bgColor rgb="FFFFF6E5"/>
      </patternFill>
    </fill>
    <fill>
      <patternFill patternType="solid">
        <fgColor rgb="FF0D1B2A"/>
        <bgColor rgb="FF1A1A1A"/>
      </patternFill>
    </fill>
    <fill>
      <patternFill patternType="solid">
        <fgColor rgb="FFFFF3CD"/>
        <bgColor rgb="FFFFF6E5"/>
      </patternFill>
    </fill>
    <fill>
      <patternFill patternType="solid">
        <fgColor rgb="FFD6F5E3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B6B3A"/>
      <rgbColor rgb="FF000080"/>
      <rgbColor rgb="FF9A6A00"/>
      <rgbColor rgb="FF800080"/>
      <rgbColor rgb="FF2A6A75"/>
      <rgbColor rgb="FFC0C0C0"/>
      <rgbColor rgb="FF808080"/>
      <rgbColor rgb="FF9999FF"/>
      <rgbColor rgb="FF993366"/>
      <rgbColor rgb="FFFFF3CD"/>
      <rgbColor rgb="FFF4F1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F5E3"/>
      <rgbColor rgb="FFFFF6E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1B3A5C"/>
      <rgbColor rgb="FF339966"/>
      <rgbColor rgb="FF0D1B2A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<Relationship Id="rId2" Type="http://schemas.openxmlformats.org/officeDocument/2006/relationships/hyperlink" Target="ADFIC-OpCo-RVIrokoSA-ModeleFinancier-v4-2026-06-22.xlsx" TargetMode="External"/><Relationship Id="rId3" Type="http://schemas.openxmlformats.org/officeDocument/2006/relationships/hyperlink" Target="ADFIC-OpCo-RVIrokoSA-ModeleFinancier-v4-2026-06-22.xlsx" TargetMode="External"/><Relationship Id="rId4" Type="http://schemas.openxmlformats.org/officeDocument/2006/relationships/hyperlink" Target="ADFIC-OpCo-RVIrokoSA-ModeleFinancier-v4-2026-06-22.xlsx" TargetMode="External"/><Relationship Id="rId5" Type="http://schemas.openxmlformats.org/officeDocument/2006/relationships/hyperlink" Target="ADFIC-OpCo-RVIrokoSA-ModeleFinancier-v4-2026-06-22.xlsx" TargetMode="External"/><Relationship Id="rId6" Type="http://schemas.openxmlformats.org/officeDocument/2006/relationships/hyperlink" Target="ADFIC-OpCo-RVIrokoSA-ModeleFinancier-v4-2026-06-22.xlsx" TargetMode="External"/><Relationship Id="rId7" Type="http://schemas.openxmlformats.org/officeDocument/2006/relationships/hyperlink" Target="ADFIC-OpCo-RVIrokoSA-ModeleFinancier-v4-2026-06-22.xlsx" TargetMode="External"/><Relationship Id="rId8" Type="http://schemas.openxmlformats.org/officeDocument/2006/relationships/hyperlink" Target="ADFIC-OpCo-RVIrokoSA-ModeleFinancier-v4-2026-06-22.xlsx" TargetMode="External"/><Relationship Id="rId9" Type="http://schemas.openxmlformats.org/officeDocument/2006/relationships/hyperlink" Target="ADFIC-OpCo-RVIrokoSA-ModeleFinancier-v4-2026-06-22.xlsx" TargetMode="External"/><Relationship Id="rId10" Type="http://schemas.openxmlformats.org/officeDocument/2006/relationships/hyperlink" Target="ADFIC-OpCo-RVIrokoSA-ModeleFinancier-v4-2026-06-22.xlsx" TargetMode="External"/><Relationship Id="rId11" Type="http://schemas.openxmlformats.org/officeDocument/2006/relationships/hyperlink" Target="ADFIC-OpCo-RVIrokoSA-ModeleFinancier-v4-2026-06-22.xlsx" TargetMode="External"/><Relationship Id="rId12" Type="http://schemas.openxmlformats.org/officeDocument/2006/relationships/hyperlink" Target="ADFIC-OpCo-RVIrokoSA-ModeleFinancier-v4-2026-06-22.xlsx" TargetMode="External"/><Relationship Id="rId13" Type="http://schemas.openxmlformats.org/officeDocument/2006/relationships/hyperlink" Target="ADFIC-OpCo-RVIrokoSA-ModeleFinancier-v4-2026-06-22.xlsx" TargetMode="External"/><Relationship Id="rId14" Type="http://schemas.openxmlformats.org/officeDocument/2006/relationships/hyperlink" Target="ADFIC-OpCo-RVIrokoSA-ModeleFinancier-v4-2026-06-22.xlsx" TargetMode="External"/><Relationship Id="rId15" Type="http://schemas.openxmlformats.org/officeDocument/2006/relationships/hyperlink" Target="ADFIC-OpCo-RVIrokoSA-ModeleFinancier-v4-2026-06-22.xlsx" TargetMode="External"/><Relationship Id="rId16" Type="http://schemas.openxmlformats.org/officeDocument/2006/relationships/hyperlink" Target="ADFIC-OpCo-RVIrokoSA-ModeleFinancier-v4-2026-06-22.xlsx" TargetMode="External"/><Relationship Id="rId17" Type="http://schemas.openxmlformats.org/officeDocument/2006/relationships/hyperlink" Target="ADFIC-OpCo-RVIrokoSA-ModeleFinancier-v4-2026-06-22.xlsx" TargetMode="External"/><Relationship Id="rId18" Type="http://schemas.openxmlformats.org/officeDocument/2006/relationships/hyperlink" Target="ADFIC-OpCo-RVIrokoSA-ModeleFinancier-v4-2026-06-22.xlsx" TargetMode="External"/><Relationship Id="rId19" Type="http://schemas.openxmlformats.org/officeDocument/2006/relationships/hyperlink" Target="ADFIC-OpCo-RVIrokoSA-ModeleFinancier-v4-2026-06-22.xlsx" TargetMode="Externa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ADFIC-OpCo-RVIrokoSA-ModeleFinancier-v4-2026-06-22.xlsx" TargetMode="Externa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ADFIC-OpCo-RVIrokoSA-ModeleFinancier-v4-2026-06-22.xls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A75"/>
    <pageSetUpPr fitToPage="false"/>
  </sheetPr>
  <dimension ref="A1:G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42"/>
    <col collapsed="false" customWidth="true" hidden="false" outlineLevel="0" max="6" min="3" style="0" width="14"/>
    <col collapsed="false" customWidth="true" hidden="false" outlineLevel="0" max="7" min="7" style="0" width="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s">
        <v>5</v>
      </c>
    </row>
    <row r="6" customFormat="false" ht="15" hidden="false" customHeight="false" outlineLevel="0" collapsed="false">
      <c r="A6" s="3" t="s">
        <v>6</v>
      </c>
      <c r="B6" s="4" t="s">
        <v>7</v>
      </c>
    </row>
    <row r="7" customFormat="false" ht="15" hidden="false" customHeight="false" outlineLevel="0" collapsed="false">
      <c r="A7" s="3" t="s">
        <v>8</v>
      </c>
      <c r="B7" s="4" t="s">
        <v>9</v>
      </c>
    </row>
    <row r="8" customFormat="false" ht="15" hidden="false" customHeight="false" outlineLevel="0" collapsed="false">
      <c r="A8" s="3" t="s">
        <v>10</v>
      </c>
      <c r="B8" s="4" t="s">
        <v>11</v>
      </c>
    </row>
    <row r="9" customFormat="false" ht="15" hidden="false" customHeight="false" outlineLevel="0" collapsed="false">
      <c r="A9" s="3" t="s">
        <v>12</v>
      </c>
      <c r="B9" s="4" t="s">
        <v>13</v>
      </c>
    </row>
    <row r="10" customFormat="false" ht="15" hidden="false" customHeight="false" outlineLevel="0" collapsed="false">
      <c r="A10" s="3" t="s">
        <v>14</v>
      </c>
      <c r="B10" s="4" t="s">
        <v>15</v>
      </c>
    </row>
    <row r="11" customFormat="false" ht="15" hidden="false" customHeight="false" outlineLevel="0" collapsed="false">
      <c r="A11" s="3" t="s">
        <v>16</v>
      </c>
      <c r="B11" s="5" t="str">
        <f aca="false">IF('16_Validation'!$C$32="ALL PASS","VALIDE","BLOCKED")</f>
        <v>VALIDE</v>
      </c>
    </row>
    <row r="12" customFormat="false" ht="15" hidden="false" customHeight="false" outlineLevel="0" collapsed="false">
      <c r="A12" s="3" t="s">
        <v>17</v>
      </c>
      <c r="B12" s="6" t="str">
        <f aca="false">'16_Validation'!$C$32&amp;" ("&amp;'16_Validation'!$C$31&amp;"/25)"</f>
        <v>ALL PASS (25/25)</v>
      </c>
    </row>
    <row r="14" customFormat="false" ht="15" hidden="false" customHeight="false" outlineLevel="0" collapsed="false">
      <c r="A14" s="7" t="s">
        <v>18</v>
      </c>
    </row>
    <row r="15" customFormat="false" ht="15" hidden="false" customHeight="false" outlineLevel="0" collapsed="false">
      <c r="A15" s="8" t="s">
        <v>19</v>
      </c>
    </row>
    <row r="16" customFormat="false" ht="15" hidden="false" customHeight="false" outlineLevel="0" collapsed="false">
      <c r="A16" s="8" t="s">
        <v>20</v>
      </c>
    </row>
    <row r="17" customFormat="false" ht="15" hidden="false" customHeight="false" outlineLevel="0" collapsed="false">
      <c r="A17" s="8" t="s">
        <v>21</v>
      </c>
    </row>
    <row r="18" customFormat="false" ht="15" hidden="false" customHeight="false" outlineLevel="0" collapsed="false">
      <c r="A18" s="8" t="s">
        <v>22</v>
      </c>
    </row>
    <row r="19" customFormat="false" ht="15" hidden="false" customHeight="false" outlineLevel="0" collapsed="false">
      <c r="A19" s="8" t="s">
        <v>23</v>
      </c>
    </row>
    <row r="20" customFormat="false" ht="15" hidden="false" customHeight="false" outlineLevel="0" collapsed="false">
      <c r="A20" s="8" t="s">
        <v>24</v>
      </c>
    </row>
    <row r="21" customFormat="false" ht="15" hidden="false" customHeight="false" outlineLevel="0" collapsed="false">
      <c r="A21" s="8" t="s">
        <v>25</v>
      </c>
    </row>
    <row r="22" customFormat="false" ht="15" hidden="false" customHeight="false" outlineLevel="0" collapsed="false">
      <c r="A22" s="8" t="s">
        <v>26</v>
      </c>
    </row>
    <row r="23" customFormat="false" ht="15" hidden="false" customHeight="false" outlineLevel="0" collapsed="false">
      <c r="A23" s="8" t="s">
        <v>27</v>
      </c>
    </row>
    <row r="24" customFormat="false" ht="15" hidden="false" customHeight="false" outlineLevel="0" collapsed="false">
      <c r="A24" s="8" t="s">
        <v>28</v>
      </c>
    </row>
    <row r="25" customFormat="false" ht="15" hidden="false" customHeight="false" outlineLevel="0" collapsed="false">
      <c r="A25" s="8" t="s">
        <v>29</v>
      </c>
    </row>
    <row r="26" customFormat="false" ht="15" hidden="false" customHeight="false" outlineLevel="0" collapsed="false">
      <c r="A26" s="8" t="s">
        <v>30</v>
      </c>
    </row>
    <row r="27" customFormat="false" ht="15" hidden="false" customHeight="false" outlineLevel="0" collapsed="false">
      <c r="A27" s="8" t="s">
        <v>31</v>
      </c>
    </row>
    <row r="28" customFormat="false" ht="15" hidden="false" customHeight="false" outlineLevel="0" collapsed="false">
      <c r="A28" s="8" t="s">
        <v>32</v>
      </c>
    </row>
    <row r="29" customFormat="false" ht="15" hidden="false" customHeight="false" outlineLevel="0" collapsed="false">
      <c r="A29" s="8" t="s">
        <v>33</v>
      </c>
    </row>
    <row r="30" customFormat="false" ht="15" hidden="false" customHeight="false" outlineLevel="0" collapsed="false">
      <c r="A30" s="8" t="s">
        <v>34</v>
      </c>
    </row>
    <row r="31" customFormat="false" ht="15" hidden="false" customHeight="false" outlineLevel="0" collapsed="false">
      <c r="A31" s="8" t="s">
        <v>35</v>
      </c>
    </row>
    <row r="32" customFormat="false" ht="15" hidden="false" customHeight="false" outlineLevel="0" collapsed="false">
      <c r="A32" s="8" t="s">
        <v>36</v>
      </c>
    </row>
    <row r="33" customFormat="false" ht="15" hidden="false" customHeight="false" outlineLevel="0" collapsed="false">
      <c r="A33" s="8" t="s">
        <v>37</v>
      </c>
    </row>
    <row r="35" customFormat="false" ht="15" hidden="false" customHeight="false" outlineLevel="0" collapsed="false">
      <c r="A35" s="9" t="s">
        <v>38</v>
      </c>
    </row>
    <row r="36" customFormat="false" ht="15" hidden="false" customHeight="false" outlineLevel="0" collapsed="false">
      <c r="A36" s="4" t="s">
        <v>39</v>
      </c>
    </row>
    <row r="37" customFormat="false" ht="15" hidden="false" customHeight="false" outlineLevel="0" collapsed="false">
      <c r="A37" s="8" t="s">
        <v>40</v>
      </c>
    </row>
    <row r="38" customFormat="false" ht="15" hidden="false" customHeight="false" outlineLevel="0" collapsed="false">
      <c r="A38" s="10" t="s">
        <v>41</v>
      </c>
    </row>
  </sheetData>
  <mergeCells count="2">
    <mergeCell ref="A1:G1"/>
    <mergeCell ref="A2:G2"/>
  </mergeCells>
  <hyperlinks>
    <hyperlink ref="A15" r:id="rId1" location="00_Couverture!A1" display="&gt; Couverture"/>
    <hyperlink ref="A16" r:id="rId2" location="01_Methodologie!A1" display="&gt; Methodologie"/>
    <hyperlink ref="A17" r:id="rId3" location="02_Hypotheses!A1" display="&gt; Hypotheses"/>
    <hyperlink ref="A18" r:id="rId4" location="03_Scenario_Cycles!A1" display="&gt; Scenario et cycles"/>
    <hyperlink ref="A19" r:id="rId5" location="04_Revenus!A1" display="&gt; Revenus"/>
    <hyperlink ref="A20" r:id="rId6" location="05_Opex!A1" display="&gt; Opex"/>
    <hyperlink ref="A21" r:id="rId7" location="06_Inter_company!A1" display="&gt; Inter-company"/>
    <hyperlink ref="A22" r:id="rId8" location="07_Cascade_Fiscale!A1" display="&gt; Cascade fiscale"/>
    <hyperlink ref="A23" r:id="rId9" location="08_Cashflow!A1" display="&gt; Cash-flow"/>
    <hyperlink ref="A24" r:id="rId10" location="09_Cap_Table!A1" display="&gt; Cap table"/>
    <hyperlink ref="A25" r:id="rId11" location="10_Waterfall!A1" display="&gt; Waterfall"/>
    <hyperlink ref="A26" r:id="rId12" location="11_Rendements!A1" display="&gt; Rendements actionnaires"/>
    <hyperlink ref="A27" r:id="rId13" location="12_Concentration!A1" display="&gt; Concentration et pare-feux"/>
    <hyperlink ref="A28" r:id="rId14" location="13_Gouvernance!A1" display="&gt; Gouvernance"/>
    <hyperlink ref="A29" r:id="rId15" location="14_Affilies!A1" display="&gt; Affilies et impact"/>
    <hyperlink ref="A30" r:id="rId16" location="15_Sensibilite!A1" display="&gt; Sensibilite"/>
    <hyperlink ref="A31" r:id="rId17" location="16_Validation!A1" display="&gt; Validation"/>
    <hyperlink ref="A32" r:id="rId18" location="17_Reference_Map!A1" display="&gt; Reference Map"/>
    <hyperlink ref="A33" r:id="rId19" location="18_Vue_Externe!A1" display="&gt; Vue extern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14"/>
    <col collapsed="false" customWidth="true" hidden="false" outlineLevel="0" max="6" min="6" style="0" width="40"/>
    <col collapsed="false" customWidth="true" hidden="false" outlineLevel="0" max="7" min="7" style="0" width="2"/>
  </cols>
  <sheetData>
    <row r="1" customFormat="false" ht="25.5" hidden="false" customHeight="true" outlineLevel="0" collapsed="false">
      <c r="A1" s="1" t="s">
        <v>398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399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400</v>
      </c>
      <c r="B5" s="7" t="s">
        <v>401</v>
      </c>
      <c r="C5" s="7" t="s">
        <v>402</v>
      </c>
      <c r="D5" s="7" t="s">
        <v>403</v>
      </c>
      <c r="E5" s="7" t="s">
        <v>404</v>
      </c>
      <c r="F5" s="7" t="s">
        <v>405</v>
      </c>
    </row>
    <row r="6" customFormat="false" ht="15" hidden="false" customHeight="false" outlineLevel="0" collapsed="false">
      <c r="A6" s="4" t="s">
        <v>406</v>
      </c>
      <c r="B6" s="41" t="n">
        <f aca="false">'02_Hypotheses'!$B$35</f>
        <v>25000</v>
      </c>
      <c r="C6" s="42" t="n">
        <f aca="false">'02_Hypotheses'!$B$35/'02_Hypotheses'!$B$33</f>
        <v>0.5</v>
      </c>
      <c r="D6" s="17" t="s">
        <v>407</v>
      </c>
      <c r="E6" s="17" t="s">
        <v>408</v>
      </c>
      <c r="F6" s="17" t="s">
        <v>409</v>
      </c>
    </row>
    <row r="7" customFormat="false" ht="15" hidden="false" customHeight="false" outlineLevel="0" collapsed="false">
      <c r="A7" s="4" t="s">
        <v>410</v>
      </c>
      <c r="B7" s="41" t="n">
        <f aca="false">'02_Hypotheses'!$B$36</f>
        <v>7500</v>
      </c>
      <c r="C7" s="42" t="n">
        <f aca="false">'02_Hypotheses'!$B$36/'02_Hypotheses'!$B$33</f>
        <v>0.15</v>
      </c>
      <c r="D7" s="17" t="s">
        <v>411</v>
      </c>
      <c r="E7" s="17" t="s">
        <v>412</v>
      </c>
      <c r="F7" s="17" t="s">
        <v>413</v>
      </c>
    </row>
    <row r="8" customFormat="false" ht="15" hidden="false" customHeight="false" outlineLevel="0" collapsed="false">
      <c r="A8" s="4" t="s">
        <v>414</v>
      </c>
      <c r="B8" s="41" t="n">
        <f aca="false">'02_Hypotheses'!$B$37</f>
        <v>10000</v>
      </c>
      <c r="C8" s="42" t="n">
        <f aca="false">'02_Hypotheses'!$B$37/'02_Hypotheses'!$B$33</f>
        <v>0.2</v>
      </c>
      <c r="D8" s="17" t="s">
        <v>415</v>
      </c>
      <c r="E8" s="17" t="s">
        <v>416</v>
      </c>
      <c r="F8" s="17" t="s">
        <v>417</v>
      </c>
    </row>
    <row r="9" customFormat="false" ht="15" hidden="false" customHeight="false" outlineLevel="0" collapsed="false">
      <c r="A9" s="4" t="s">
        <v>418</v>
      </c>
      <c r="B9" s="41" t="n">
        <f aca="false">'02_Hypotheses'!$B$38</f>
        <v>7500</v>
      </c>
      <c r="C9" s="42" t="n">
        <f aca="false">'02_Hypotheses'!$B$38/'02_Hypotheses'!$B$33</f>
        <v>0.15</v>
      </c>
      <c r="D9" s="17" t="s">
        <v>419</v>
      </c>
      <c r="E9" s="17" t="s">
        <v>416</v>
      </c>
      <c r="F9" s="17" t="s">
        <v>420</v>
      </c>
    </row>
    <row r="10" customFormat="false" ht="15" hidden="false" customHeight="false" outlineLevel="0" collapsed="false">
      <c r="A10" s="30" t="s">
        <v>421</v>
      </c>
      <c r="B10" s="43" t="n">
        <f aca="false">B6+B7</f>
        <v>32500</v>
      </c>
      <c r="C10" s="44" t="n">
        <f aca="false">C6+C7</f>
        <v>0.65</v>
      </c>
      <c r="D10" s="30" t="s">
        <v>422</v>
      </c>
    </row>
    <row r="11" customFormat="false" ht="15" hidden="false" customHeight="false" outlineLevel="0" collapsed="false">
      <c r="A11" s="30" t="s">
        <v>423</v>
      </c>
      <c r="B11" s="45" t="n">
        <f aca="false">B6+B7+B8+B9</f>
        <v>50000</v>
      </c>
      <c r="C11" s="46" t="n">
        <f aca="false">C6+C7+C8+C9</f>
        <v>1</v>
      </c>
    </row>
    <row r="13" customFormat="false" ht="15" hidden="false" customHeight="false" outlineLevel="0" collapsed="false">
      <c r="A13" s="7" t="s">
        <v>424</v>
      </c>
    </row>
    <row r="14" customFormat="false" ht="15" hidden="false" customHeight="false" outlineLevel="0" collapsed="false">
      <c r="A14" s="4" t="s">
        <v>425</v>
      </c>
      <c r="B14" s="17" t="s">
        <v>426</v>
      </c>
      <c r="C14" s="17" t="s">
        <v>427</v>
      </c>
    </row>
    <row r="15" customFormat="false" ht="15" hidden="false" customHeight="false" outlineLevel="0" collapsed="false">
      <c r="A15" s="4" t="s">
        <v>428</v>
      </c>
      <c r="B15" s="17" t="s">
        <v>429</v>
      </c>
      <c r="C15" s="17" t="s">
        <v>430</v>
      </c>
    </row>
    <row r="16" customFormat="false" ht="15" hidden="false" customHeight="false" outlineLevel="0" collapsed="false">
      <c r="A16" s="4" t="s">
        <v>431</v>
      </c>
      <c r="B16" s="17" t="s">
        <v>432</v>
      </c>
      <c r="C16" s="17" t="s">
        <v>433</v>
      </c>
    </row>
    <row r="17" customFormat="false" ht="15" hidden="false" customHeight="false" outlineLevel="0" collapsed="false">
      <c r="A17" s="4" t="s">
        <v>434</v>
      </c>
      <c r="B17" s="17" t="s">
        <v>435</v>
      </c>
      <c r="C17" s="17" t="s">
        <v>436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A75"/>
    <pageSetUpPr fitToPage="false"/>
  </sheetPr>
  <dimension ref="A1:K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437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438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4" t="s">
        <v>439</v>
      </c>
      <c r="B6" s="33" t="n">
        <f aca="false">MAX(0,'07_Cascade_Fiscale'!$B$22)</f>
        <v>0</v>
      </c>
      <c r="C6" s="33" t="n">
        <f aca="false">MAX(0,'07_Cascade_Fiscale'!$C$22)</f>
        <v>0</v>
      </c>
      <c r="D6" s="33" t="n">
        <f aca="false">MAX(0,'07_Cascade_Fiscale'!$D$22)</f>
        <v>524.2205</v>
      </c>
      <c r="E6" s="33" t="n">
        <f aca="false">MAX(0,'07_Cascade_Fiscale'!$E$22)</f>
        <v>751.9118</v>
      </c>
      <c r="F6" s="33" t="n">
        <f aca="false">MAX(0,'07_Cascade_Fiscale'!$F$22)</f>
        <v>1953.1267</v>
      </c>
      <c r="G6" s="33" t="n">
        <f aca="false">MAX(0,'07_Cascade_Fiscale'!$G$22)</f>
        <v>532.2205</v>
      </c>
      <c r="H6" s="33" t="n">
        <f aca="false">MAX(0,'07_Cascade_Fiscale'!$H$22)</f>
        <v>767.9118</v>
      </c>
      <c r="I6" s="33" t="n">
        <f aca="false">MAX(0,'07_Cascade_Fiscale'!$I$22)</f>
        <v>2045.1267</v>
      </c>
      <c r="J6" s="33" t="n">
        <f aca="false">MAX(0,'07_Cascade_Fiscale'!$J$22)</f>
        <v>532.2205</v>
      </c>
    </row>
    <row r="8" customFormat="false" ht="15" hidden="false" customHeight="false" outlineLevel="0" collapsed="false">
      <c r="A8" s="4" t="s">
        <v>440</v>
      </c>
      <c r="B8" s="29" t="n">
        <f aca="false">MAX(0,B6*(('02_Hypotheses'!$B$35+'02_Hypotheses'!$B$36)/'02_Hypotheses'!$B$33))</f>
        <v>0</v>
      </c>
      <c r="C8" s="29" t="n">
        <f aca="false">MAX(0,C6*(('02_Hypotheses'!$B$35+'02_Hypotheses'!$B$36)/'02_Hypotheses'!$B$33))</f>
        <v>0</v>
      </c>
      <c r="D8" s="29" t="n">
        <f aca="false">MAX(0,D6*(('02_Hypotheses'!$B$35+'02_Hypotheses'!$B$36)/'02_Hypotheses'!$B$33))</f>
        <v>340.743325</v>
      </c>
      <c r="E8" s="29" t="n">
        <f aca="false">MAX(0,E6*(('02_Hypotheses'!$B$35+'02_Hypotheses'!$B$36)/'02_Hypotheses'!$B$33))</f>
        <v>488.74267</v>
      </c>
      <c r="F8" s="29" t="n">
        <f aca="false">MAX(0,F6*(('02_Hypotheses'!$B$35+'02_Hypotheses'!$B$36)/'02_Hypotheses'!$B$33))</f>
        <v>1269.532355</v>
      </c>
      <c r="G8" s="29" t="n">
        <f aca="false">MAX(0,G6*(('02_Hypotheses'!$B$35+'02_Hypotheses'!$B$36)/'02_Hypotheses'!$B$33))</f>
        <v>345.943325</v>
      </c>
      <c r="H8" s="29" t="n">
        <f aca="false">MAX(0,H6*(('02_Hypotheses'!$B$35+'02_Hypotheses'!$B$36)/'02_Hypotheses'!$B$33))</f>
        <v>499.14267</v>
      </c>
      <c r="I8" s="29" t="n">
        <f aca="false">MAX(0,I6*(('02_Hypotheses'!$B$35+'02_Hypotheses'!$B$36)/'02_Hypotheses'!$B$33))</f>
        <v>1329.332355</v>
      </c>
      <c r="J8" s="29" t="n">
        <f aca="false">MAX(0,J6*(('02_Hypotheses'!$B$35+'02_Hypotheses'!$B$36)/'02_Hypotheses'!$B$33))</f>
        <v>345.943325</v>
      </c>
    </row>
    <row r="9" customFormat="false" ht="15" hidden="false" customHeight="false" outlineLevel="0" collapsed="false">
      <c r="A9" s="4" t="s">
        <v>441</v>
      </c>
      <c r="B9" s="29" t="n">
        <f aca="false">MAX(0,B6*('02_Hypotheses'!$B$37/'02_Hypotheses'!$B$33))</f>
        <v>0</v>
      </c>
      <c r="C9" s="29" t="n">
        <f aca="false">MAX(0,C6*('02_Hypotheses'!$B$37/'02_Hypotheses'!$B$33))</f>
        <v>0</v>
      </c>
      <c r="D9" s="29" t="n">
        <f aca="false">MAX(0,D6*('02_Hypotheses'!$B$37/'02_Hypotheses'!$B$33))</f>
        <v>104.8441</v>
      </c>
      <c r="E9" s="29" t="n">
        <f aca="false">MAX(0,E6*('02_Hypotheses'!$B$37/'02_Hypotheses'!$B$33))</f>
        <v>150.38236</v>
      </c>
      <c r="F9" s="29" t="n">
        <f aca="false">MAX(0,F6*('02_Hypotheses'!$B$37/'02_Hypotheses'!$B$33))</f>
        <v>390.62534</v>
      </c>
      <c r="G9" s="29" t="n">
        <f aca="false">MAX(0,G6*('02_Hypotheses'!$B$37/'02_Hypotheses'!$B$33))</f>
        <v>106.4441</v>
      </c>
      <c r="H9" s="29" t="n">
        <f aca="false">MAX(0,H6*('02_Hypotheses'!$B$37/'02_Hypotheses'!$B$33))</f>
        <v>153.58236</v>
      </c>
      <c r="I9" s="29" t="n">
        <f aca="false">MAX(0,I6*('02_Hypotheses'!$B$37/'02_Hypotheses'!$B$33))</f>
        <v>409.02534</v>
      </c>
      <c r="J9" s="29" t="n">
        <f aca="false">MAX(0,J6*('02_Hypotheses'!$B$37/'02_Hypotheses'!$B$33))</f>
        <v>106.4441</v>
      </c>
    </row>
    <row r="10" customFormat="false" ht="15" hidden="false" customHeight="false" outlineLevel="0" collapsed="false">
      <c r="A10" s="4" t="s">
        <v>442</v>
      </c>
      <c r="B10" s="29" t="n">
        <f aca="false">MAX(0,B6*('02_Hypotheses'!$B$38/'02_Hypotheses'!$B$33))</f>
        <v>0</v>
      </c>
      <c r="C10" s="29" t="n">
        <f aca="false">MAX(0,C6*('02_Hypotheses'!$B$38/'02_Hypotheses'!$B$33))</f>
        <v>0</v>
      </c>
      <c r="D10" s="29" t="n">
        <f aca="false">MAX(0,D6*('02_Hypotheses'!$B$38/'02_Hypotheses'!$B$33))</f>
        <v>78.633075</v>
      </c>
      <c r="E10" s="29" t="n">
        <f aca="false">MAX(0,E6*('02_Hypotheses'!$B$38/'02_Hypotheses'!$B$33))</f>
        <v>112.78677</v>
      </c>
      <c r="F10" s="29" t="n">
        <f aca="false">MAX(0,F6*('02_Hypotheses'!$B$38/'02_Hypotheses'!$B$33))</f>
        <v>292.969005</v>
      </c>
      <c r="G10" s="29" t="n">
        <f aca="false">MAX(0,G6*('02_Hypotheses'!$B$38/'02_Hypotheses'!$B$33))</f>
        <v>79.833075</v>
      </c>
      <c r="H10" s="29" t="n">
        <f aca="false">MAX(0,H6*('02_Hypotheses'!$B$38/'02_Hypotheses'!$B$33))</f>
        <v>115.18677</v>
      </c>
      <c r="I10" s="29" t="n">
        <f aca="false">MAX(0,I6*('02_Hypotheses'!$B$38/'02_Hypotheses'!$B$33))</f>
        <v>306.769005</v>
      </c>
      <c r="J10" s="29" t="n">
        <f aca="false">MAX(0,J6*('02_Hypotheses'!$B$38/'02_Hypotheses'!$B$33))</f>
        <v>79.833075</v>
      </c>
    </row>
    <row r="11" customFormat="false" ht="15" hidden="false" customHeight="false" outlineLevel="0" collapsed="false">
      <c r="A11" s="30" t="s">
        <v>443</v>
      </c>
      <c r="B11" s="31" t="n">
        <f aca="false">B8+B9+B10</f>
        <v>0</v>
      </c>
      <c r="C11" s="31" t="n">
        <f aca="false">C8+C9+C10</f>
        <v>0</v>
      </c>
      <c r="D11" s="31" t="n">
        <f aca="false">D8+D9+D10</f>
        <v>524.2205</v>
      </c>
      <c r="E11" s="31" t="n">
        <f aca="false">E8+E9+E10</f>
        <v>751.9118</v>
      </c>
      <c r="F11" s="31" t="n">
        <f aca="false">F8+F9+F10</f>
        <v>1953.1267</v>
      </c>
      <c r="G11" s="31" t="n">
        <f aca="false">G8+G9+G10</f>
        <v>532.2205</v>
      </c>
      <c r="H11" s="31" t="n">
        <f aca="false">H8+H9+H10</f>
        <v>767.9118</v>
      </c>
      <c r="I11" s="31" t="n">
        <f aca="false">I8+I9+I10</f>
        <v>2045.1267</v>
      </c>
      <c r="J11" s="31" t="n">
        <f aca="false">J8+J9+J10</f>
        <v>532.2205</v>
      </c>
    </row>
    <row r="13" customFormat="false" ht="15" hidden="false" customHeight="false" outlineLevel="0" collapsed="false">
      <c r="A13" s="17" t="s">
        <v>444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5" min="5" style="0" width="2"/>
  </cols>
  <sheetData>
    <row r="1" customFormat="false" ht="25.5" hidden="false" customHeight="true" outlineLevel="0" collapsed="false">
      <c r="A1" s="1" t="s">
        <v>445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446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447</v>
      </c>
      <c r="B5" s="7" t="s">
        <v>448</v>
      </c>
      <c r="C5" s="7" t="s">
        <v>449</v>
      </c>
      <c r="D5" s="7" t="s">
        <v>450</v>
      </c>
    </row>
    <row r="6" customFormat="false" ht="15" hidden="false" customHeight="false" outlineLevel="0" collapsed="false">
      <c r="A6" s="38" t="s">
        <v>451</v>
      </c>
    </row>
    <row r="7" customFormat="false" ht="15" hidden="false" customHeight="false" outlineLevel="0" collapsed="false">
      <c r="A7" s="38" t="s">
        <v>452</v>
      </c>
    </row>
    <row r="9" customFormat="false" ht="15" hidden="false" customHeight="false" outlineLevel="0" collapsed="false">
      <c r="A9" s="32" t="s">
        <v>453</v>
      </c>
      <c r="B9" s="31" t="n">
        <f aca="false">'10_Waterfall'!B8+'10_Waterfall'!C8+'10_Waterfall'!D8+'10_Waterfall'!E8+'10_Waterfall'!F8+'10_Waterfall'!G8+'10_Waterfall'!H8+'10_Waterfall'!I8+'10_Waterfall'!J8</f>
        <v>4619.380025</v>
      </c>
      <c r="C9" s="31" t="n">
        <f aca="false">'10_Waterfall'!B9+'10_Waterfall'!C9+'10_Waterfall'!D9+'10_Waterfall'!E9+'10_Waterfall'!F9+'10_Waterfall'!G9+'10_Waterfall'!H9+'10_Waterfall'!I9+'10_Waterfall'!J9</f>
        <v>1421.3477</v>
      </c>
      <c r="D9" s="31" t="n">
        <f aca="false">'10_Waterfall'!B10+'10_Waterfall'!C10+'10_Waterfall'!D10+'10_Waterfall'!E10+'10_Waterfall'!F10+'10_Waterfall'!G10+'10_Waterfall'!H10+'10_Waterfall'!I10+'10_Waterfall'!J10</f>
        <v>1066.010775</v>
      </c>
    </row>
    <row r="11" customFormat="false" ht="15" hidden="false" customHeight="false" outlineLevel="0" collapsed="false">
      <c r="A11" s="7" t="s">
        <v>454</v>
      </c>
    </row>
    <row r="12" customFormat="false" ht="15" hidden="false" customHeight="false" outlineLevel="0" collapsed="false">
      <c r="A12" s="17" t="s">
        <v>261</v>
      </c>
      <c r="B12" s="29" t="n">
        <f aca="false">'10_Waterfall'!B8</f>
        <v>0</v>
      </c>
      <c r="C12" s="29" t="n">
        <f aca="false">'10_Waterfall'!B9</f>
        <v>0</v>
      </c>
      <c r="D12" s="29" t="n">
        <f aca="false">'10_Waterfall'!B10</f>
        <v>0</v>
      </c>
    </row>
    <row r="13" customFormat="false" ht="15" hidden="false" customHeight="false" outlineLevel="0" collapsed="false">
      <c r="A13" s="17" t="s">
        <v>262</v>
      </c>
      <c r="B13" s="29" t="n">
        <f aca="false">'10_Waterfall'!C8</f>
        <v>0</v>
      </c>
      <c r="C13" s="29" t="n">
        <f aca="false">'10_Waterfall'!C9</f>
        <v>0</v>
      </c>
      <c r="D13" s="29" t="n">
        <f aca="false">'10_Waterfall'!C10</f>
        <v>0</v>
      </c>
    </row>
    <row r="14" customFormat="false" ht="15" hidden="false" customHeight="false" outlineLevel="0" collapsed="false">
      <c r="A14" s="17" t="s">
        <v>263</v>
      </c>
      <c r="B14" s="29" t="n">
        <f aca="false">'10_Waterfall'!D8</f>
        <v>340.743325</v>
      </c>
      <c r="C14" s="29" t="n">
        <f aca="false">'10_Waterfall'!D9</f>
        <v>104.8441</v>
      </c>
      <c r="D14" s="29" t="n">
        <f aca="false">'10_Waterfall'!D10</f>
        <v>78.633075</v>
      </c>
    </row>
    <row r="15" customFormat="false" ht="15" hidden="false" customHeight="false" outlineLevel="0" collapsed="false">
      <c r="A15" s="17" t="s">
        <v>264</v>
      </c>
      <c r="B15" s="29" t="n">
        <f aca="false">'10_Waterfall'!E8</f>
        <v>488.74267</v>
      </c>
      <c r="C15" s="29" t="n">
        <f aca="false">'10_Waterfall'!E9</f>
        <v>150.38236</v>
      </c>
      <c r="D15" s="29" t="n">
        <f aca="false">'10_Waterfall'!E10</f>
        <v>112.78677</v>
      </c>
    </row>
    <row r="16" customFormat="false" ht="15" hidden="false" customHeight="false" outlineLevel="0" collapsed="false">
      <c r="A16" s="17" t="s">
        <v>265</v>
      </c>
      <c r="B16" s="29" t="n">
        <f aca="false">'10_Waterfall'!F8</f>
        <v>1269.532355</v>
      </c>
      <c r="C16" s="29" t="n">
        <f aca="false">'10_Waterfall'!F9</f>
        <v>390.62534</v>
      </c>
      <c r="D16" s="29" t="n">
        <f aca="false">'10_Waterfall'!F10</f>
        <v>292.969005</v>
      </c>
    </row>
    <row r="17" customFormat="false" ht="15" hidden="false" customHeight="false" outlineLevel="0" collapsed="false">
      <c r="A17" s="17" t="s">
        <v>266</v>
      </c>
      <c r="B17" s="29" t="n">
        <f aca="false">'10_Waterfall'!G8</f>
        <v>345.943325</v>
      </c>
      <c r="C17" s="29" t="n">
        <f aca="false">'10_Waterfall'!G9</f>
        <v>106.4441</v>
      </c>
      <c r="D17" s="29" t="n">
        <f aca="false">'10_Waterfall'!G10</f>
        <v>79.833075</v>
      </c>
    </row>
    <row r="18" customFormat="false" ht="15" hidden="false" customHeight="false" outlineLevel="0" collapsed="false">
      <c r="A18" s="17" t="s">
        <v>267</v>
      </c>
      <c r="B18" s="29" t="n">
        <f aca="false">'10_Waterfall'!H8</f>
        <v>499.14267</v>
      </c>
      <c r="C18" s="29" t="n">
        <f aca="false">'10_Waterfall'!H9</f>
        <v>153.58236</v>
      </c>
      <c r="D18" s="29" t="n">
        <f aca="false">'10_Waterfall'!H10</f>
        <v>115.18677</v>
      </c>
    </row>
    <row r="19" customFormat="false" ht="15" hidden="false" customHeight="false" outlineLevel="0" collapsed="false">
      <c r="A19" s="17" t="s">
        <v>268</v>
      </c>
      <c r="B19" s="29" t="n">
        <f aca="false">'10_Waterfall'!I8</f>
        <v>1329.332355</v>
      </c>
      <c r="C19" s="29" t="n">
        <f aca="false">'10_Waterfall'!I9</f>
        <v>409.02534</v>
      </c>
      <c r="D19" s="29" t="n">
        <f aca="false">'10_Waterfall'!I10</f>
        <v>306.769005</v>
      </c>
    </row>
    <row r="20" customFormat="false" ht="15" hidden="false" customHeight="false" outlineLevel="0" collapsed="false">
      <c r="A20" s="17" t="s">
        <v>269</v>
      </c>
      <c r="B20" s="29" t="n">
        <f aca="false">'10_Waterfall'!J8</f>
        <v>345.943325</v>
      </c>
      <c r="C20" s="29" t="n">
        <f aca="false">'10_Waterfall'!J9</f>
        <v>106.4441</v>
      </c>
      <c r="D20" s="29" t="n">
        <f aca="false">'10_Waterfall'!J10</f>
        <v>79.833075</v>
      </c>
    </row>
    <row r="23" customFormat="false" ht="15" hidden="false" customHeight="false" outlineLevel="0" collapsed="false">
      <c r="A23" s="30" t="s">
        <v>455</v>
      </c>
      <c r="B23" s="5" t="s">
        <v>456</v>
      </c>
      <c r="C23" s="5" t="s">
        <v>456</v>
      </c>
      <c r="D23" s="5" t="s">
        <v>456</v>
      </c>
    </row>
    <row r="24" customFormat="false" ht="15" hidden="false" customHeight="false" outlineLevel="0" collapsed="false">
      <c r="A24" s="30" t="s">
        <v>457</v>
      </c>
      <c r="B24" s="5" t="s">
        <v>458</v>
      </c>
      <c r="C24" s="5" t="s">
        <v>458</v>
      </c>
      <c r="D24" s="5" t="s">
        <v>458</v>
      </c>
    </row>
    <row r="26" customFormat="false" ht="15" hidden="false" customHeight="false" outlineLevel="0" collapsed="false">
      <c r="A26" s="17" t="s">
        <v>459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6" min="2" style="0" width="14"/>
    <col collapsed="false" customWidth="true" hidden="false" outlineLevel="0" max="7" min="7" style="0" width="2"/>
  </cols>
  <sheetData>
    <row r="1" customFormat="false" ht="25.5" hidden="false" customHeight="true" outlineLevel="0" collapsed="false">
      <c r="A1" s="1" t="s">
        <v>460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461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462</v>
      </c>
      <c r="B5" s="7" t="s">
        <v>261</v>
      </c>
      <c r="C5" s="7" t="s">
        <v>263</v>
      </c>
      <c r="D5" s="7" t="s">
        <v>265</v>
      </c>
      <c r="E5" s="7" t="s">
        <v>267</v>
      </c>
      <c r="F5" s="7" t="s">
        <v>269</v>
      </c>
      <c r="G5" s="7"/>
    </row>
    <row r="6" customFormat="false" ht="15" hidden="false" customHeight="false" outlineLevel="0" collapsed="false">
      <c r="A6" s="4" t="s">
        <v>463</v>
      </c>
      <c r="B6" s="47" t="n">
        <f aca="false">IFERROR('04_Revenus'!$B$47/'04_Revenus'!$B$30,0)</f>
        <v>0</v>
      </c>
      <c r="C6" s="47" t="n">
        <f aca="false">IFERROR('04_Revenus'!$D$47/'04_Revenus'!$D$30,0)</f>
        <v>1.0958904109589</v>
      </c>
      <c r="D6" s="47" t="n">
        <f aca="false">IFERROR('04_Revenus'!$F$47/'04_Revenus'!$F$30,0)</f>
        <v>1.41232227488152</v>
      </c>
      <c r="E6" s="47" t="n">
        <f aca="false">IFERROR('04_Revenus'!$H$47/'04_Revenus'!$H$30,0)</f>
        <v>0</v>
      </c>
      <c r="F6" s="47" t="n">
        <f aca="false">IFERROR('04_Revenus'!$J$47/'04_Revenus'!$J$30,0)</f>
        <v>0</v>
      </c>
    </row>
    <row r="7" customFormat="false" ht="15" hidden="false" customHeight="false" outlineLevel="0" collapsed="false">
      <c r="A7" s="30" t="s">
        <v>464</v>
      </c>
      <c r="B7" s="5" t="str">
        <f aca="false">IF(B6&lt;=0.6,"PASS","WARN")</f>
        <v>PASS</v>
      </c>
      <c r="C7" s="5" t="str">
        <f aca="false">IF(C6&lt;=0.6,"PASS","WARN")</f>
        <v>WARN</v>
      </c>
      <c r="D7" s="5" t="str">
        <f aca="false">IF(D6&lt;=0.6,"PASS","WARN")</f>
        <v>WARN</v>
      </c>
      <c r="E7" s="5" t="str">
        <f aca="false">IF(E6&lt;=0.6,"PASS","WARN")</f>
        <v>PASS</v>
      </c>
      <c r="F7" s="5" t="str">
        <f aca="false">IF(F6&lt;=0.6,"PASS","WARN")</f>
        <v>PASS</v>
      </c>
    </row>
    <row r="9" customFormat="false" ht="15" hidden="false" customHeight="false" outlineLevel="0" collapsed="false">
      <c r="A9" s="7" t="s">
        <v>465</v>
      </c>
    </row>
    <row r="10" customFormat="false" ht="15" hidden="false" customHeight="false" outlineLevel="0" collapsed="false">
      <c r="A10" s="4" t="s">
        <v>466</v>
      </c>
      <c r="B10" s="17" t="s">
        <v>467</v>
      </c>
    </row>
    <row r="11" customFormat="false" ht="15" hidden="false" customHeight="false" outlineLevel="0" collapsed="false">
      <c r="A11" s="4" t="s">
        <v>468</v>
      </c>
      <c r="B11" s="17" t="s">
        <v>469</v>
      </c>
    </row>
    <row r="12" customFormat="false" ht="15" hidden="false" customHeight="false" outlineLevel="0" collapsed="false">
      <c r="A12" s="4" t="s">
        <v>470</v>
      </c>
      <c r="B12" s="17" t="s">
        <v>471</v>
      </c>
    </row>
    <row r="13" customFormat="false" ht="15" hidden="false" customHeight="false" outlineLevel="0" collapsed="false">
      <c r="A13" s="4" t="s">
        <v>472</v>
      </c>
      <c r="B13" s="17" t="s">
        <v>473</v>
      </c>
    </row>
    <row r="14" customFormat="false" ht="15" hidden="false" customHeight="false" outlineLevel="0" collapsed="false">
      <c r="A14" s="4" t="s">
        <v>474</v>
      </c>
      <c r="B14" s="17" t="s">
        <v>475</v>
      </c>
    </row>
    <row r="15" customFormat="false" ht="15" hidden="false" customHeight="false" outlineLevel="0" collapsed="false">
      <c r="A15" s="4" t="s">
        <v>476</v>
      </c>
      <c r="B15" s="17" t="s">
        <v>477</v>
      </c>
    </row>
    <row r="16" customFormat="false" ht="15" hidden="false" customHeight="false" outlineLevel="0" collapsed="false">
      <c r="A16" s="4" t="s">
        <v>478</v>
      </c>
      <c r="B16" s="17" t="s">
        <v>479</v>
      </c>
    </row>
    <row r="17" customFormat="false" ht="15" hidden="false" customHeight="false" outlineLevel="0" collapsed="false">
      <c r="A17" s="4" t="s">
        <v>480</v>
      </c>
      <c r="B17" s="17" t="s">
        <v>481</v>
      </c>
    </row>
    <row r="18" customFormat="false" ht="15" hidden="false" customHeight="false" outlineLevel="0" collapsed="false">
      <c r="A18" s="4" t="s">
        <v>482</v>
      </c>
      <c r="B18" s="17" t="s">
        <v>483</v>
      </c>
    </row>
    <row r="19" customFormat="false" ht="15" hidden="false" customHeight="false" outlineLevel="0" collapsed="false">
      <c r="A19" s="4" t="s">
        <v>484</v>
      </c>
      <c r="B19" s="17" t="s">
        <v>485</v>
      </c>
    </row>
    <row r="20" customFormat="false" ht="15" hidden="false" customHeight="false" outlineLevel="0" collapsed="false">
      <c r="A20" s="4" t="s">
        <v>486</v>
      </c>
      <c r="B20" s="17" t="s">
        <v>487</v>
      </c>
    </row>
    <row r="21" customFormat="false" ht="15" hidden="false" customHeight="false" outlineLevel="0" collapsed="false">
      <c r="A21" s="4" t="s">
        <v>488</v>
      </c>
      <c r="B21" s="17" t="s">
        <v>489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1B2A"/>
    <pageSetUpPr fitToPage="false"/>
  </sheetPr>
  <dimension ref="A1:K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40"/>
    <col collapsed="false" customWidth="true" hidden="false" outlineLevel="0" max="6" min="6" style="0" width="2"/>
  </cols>
  <sheetData>
    <row r="1" customFormat="false" ht="25.5" hidden="false" customHeight="true" outlineLevel="0" collapsed="false">
      <c r="A1" s="1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491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492</v>
      </c>
      <c r="B5" s="7" t="s">
        <v>493</v>
      </c>
      <c r="C5" s="7" t="s">
        <v>494</v>
      </c>
      <c r="D5" s="7" t="s">
        <v>495</v>
      </c>
      <c r="E5" s="7" t="s">
        <v>405</v>
      </c>
    </row>
    <row r="6" customFormat="false" ht="15" hidden="false" customHeight="false" outlineLevel="0" collapsed="false">
      <c r="A6" s="4" t="s">
        <v>496</v>
      </c>
      <c r="B6" s="17" t="s">
        <v>497</v>
      </c>
      <c r="C6" s="17" t="s">
        <v>498</v>
      </c>
      <c r="D6" s="37" t="n">
        <v>5</v>
      </c>
      <c r="E6" s="17" t="s">
        <v>499</v>
      </c>
    </row>
    <row r="7" customFormat="false" ht="15" hidden="false" customHeight="false" outlineLevel="0" collapsed="false">
      <c r="A7" s="4" t="s">
        <v>500</v>
      </c>
      <c r="B7" s="17" t="s">
        <v>501</v>
      </c>
      <c r="C7" s="17" t="s">
        <v>498</v>
      </c>
      <c r="D7" s="37" t="n">
        <v>5</v>
      </c>
      <c r="E7" s="17" t="s">
        <v>502</v>
      </c>
    </row>
    <row r="8" customFormat="false" ht="15" hidden="false" customHeight="false" outlineLevel="0" collapsed="false">
      <c r="A8" s="4" t="s">
        <v>503</v>
      </c>
      <c r="B8" s="17" t="s">
        <v>501</v>
      </c>
      <c r="C8" s="17" t="s">
        <v>504</v>
      </c>
      <c r="D8" s="37" t="n">
        <v>5</v>
      </c>
      <c r="E8" s="17" t="s">
        <v>505</v>
      </c>
    </row>
    <row r="9" customFormat="false" ht="15" hidden="false" customHeight="false" outlineLevel="0" collapsed="false">
      <c r="A9" s="4" t="s">
        <v>506</v>
      </c>
      <c r="B9" s="17" t="s">
        <v>501</v>
      </c>
      <c r="C9" s="17" t="s">
        <v>504</v>
      </c>
      <c r="D9" s="37" t="n">
        <v>5</v>
      </c>
      <c r="E9" s="17" t="s">
        <v>505</v>
      </c>
    </row>
    <row r="10" customFormat="false" ht="15" hidden="false" customHeight="false" outlineLevel="0" collapsed="false">
      <c r="A10" s="4" t="s">
        <v>507</v>
      </c>
      <c r="B10" s="17" t="s">
        <v>501</v>
      </c>
      <c r="C10" s="17" t="s">
        <v>508</v>
      </c>
      <c r="D10" s="37" t="n">
        <v>5</v>
      </c>
      <c r="E10" s="17" t="s">
        <v>509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A75"/>
    <pageSetUpPr fitToPage="false"/>
  </sheetPr>
  <dimension ref="A1:K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3" min="3" style="0" width="40"/>
    <col collapsed="false" customWidth="true" hidden="false" outlineLevel="0" max="4" min="4" style="0" width="18"/>
    <col collapsed="false" customWidth="true" hidden="false" outlineLevel="0" max="5" min="5" style="0" width="2"/>
  </cols>
  <sheetData>
    <row r="1" customFormat="false" ht="25.5" hidden="false" customHeight="true" outlineLevel="0" collapsed="false">
      <c r="A1" s="1" t="s">
        <v>510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511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512</v>
      </c>
      <c r="B5" s="7" t="s">
        <v>493</v>
      </c>
      <c r="C5" s="7" t="s">
        <v>513</v>
      </c>
      <c r="D5" s="7" t="s">
        <v>514</v>
      </c>
    </row>
    <row r="6" customFormat="false" ht="15" hidden="false" customHeight="false" outlineLevel="0" collapsed="false">
      <c r="A6" s="4" t="s">
        <v>515</v>
      </c>
      <c r="B6" s="17" t="s">
        <v>516</v>
      </c>
      <c r="C6" s="4" t="str">
        <f aca="false">'02_Hypotheses'!$B$111&amp;" MWc / "&amp;TEXT('02_Hypotheses'!$B$112,"#,##0")&amp;" tCO2/yr / green bond USD "&amp;TEXT('02_Hypotheses'!$B$113,"#,##0")&amp;"K"</f>
        <v>66 MWc / 72,000 tCO2/yr / green bond USD 76,500K</v>
      </c>
      <c r="D6" s="17" t="s">
        <v>517</v>
      </c>
    </row>
    <row r="7" customFormat="false" ht="15" hidden="false" customHeight="false" outlineLevel="0" collapsed="false">
      <c r="A7" s="4" t="s">
        <v>518</v>
      </c>
      <c r="B7" s="17" t="s">
        <v>519</v>
      </c>
      <c r="C7" s="17" t="s">
        <v>520</v>
      </c>
      <c r="D7" s="17" t="s">
        <v>521</v>
      </c>
    </row>
    <row r="8" customFormat="false" ht="15" hidden="false" customHeight="false" outlineLevel="0" collapsed="false">
      <c r="A8" s="4" t="s">
        <v>522</v>
      </c>
      <c r="B8" s="17" t="s">
        <v>523</v>
      </c>
      <c r="C8" s="17" t="s">
        <v>524</v>
      </c>
      <c r="D8" s="17" t="s">
        <v>525</v>
      </c>
    </row>
    <row r="9" customFormat="false" ht="15" hidden="false" customHeight="false" outlineLevel="0" collapsed="false">
      <c r="A9" s="4" t="s">
        <v>526</v>
      </c>
      <c r="B9" s="17" t="s">
        <v>527</v>
      </c>
      <c r="C9" s="17" t="s">
        <v>528</v>
      </c>
      <c r="D9" s="17" t="s">
        <v>529</v>
      </c>
    </row>
    <row r="10" customFormat="false" ht="15" hidden="false" customHeight="false" outlineLevel="0" collapsed="false">
      <c r="A10" s="4" t="s">
        <v>530</v>
      </c>
      <c r="B10" s="17" t="s">
        <v>531</v>
      </c>
      <c r="C10" s="17" t="s">
        <v>532</v>
      </c>
      <c r="D10" s="17" t="s">
        <v>533</v>
      </c>
    </row>
    <row r="11" customFormat="false" ht="15" hidden="false" customHeight="false" outlineLevel="0" collapsed="false">
      <c r="A11" s="4" t="s">
        <v>534</v>
      </c>
      <c r="B11" s="17" t="s">
        <v>535</v>
      </c>
      <c r="C11" s="17" t="s">
        <v>536</v>
      </c>
      <c r="D11" s="17" t="s">
        <v>537</v>
      </c>
    </row>
    <row r="13" customFormat="false" ht="15" hidden="false" customHeight="false" outlineLevel="0" collapsed="false">
      <c r="A13" s="4" t="s">
        <v>538</v>
      </c>
      <c r="B13" s="48" t="n">
        <f aca="false">'02_Hypotheses'!$B$108</f>
        <v>75000</v>
      </c>
    </row>
    <row r="14" customFormat="false" ht="15" hidden="false" customHeight="false" outlineLevel="0" collapsed="false">
      <c r="A14" s="4" t="s">
        <v>539</v>
      </c>
      <c r="B14" s="48" t="n">
        <f aca="false">'02_Hypotheses'!$B$108*'02_Hypotheses'!$B$109</f>
        <v>30000</v>
      </c>
    </row>
    <row r="15" customFormat="false" ht="15" hidden="false" customHeight="false" outlineLevel="0" collapsed="false">
      <c r="A15" s="4" t="s">
        <v>247</v>
      </c>
      <c r="B15" s="28" t="n">
        <f aca="false">'02_Hypotheses'!$B$110</f>
        <v>-0.3307</v>
      </c>
    </row>
    <row r="16" customFormat="false" ht="15" hidden="false" customHeight="false" outlineLevel="0" collapsed="false">
      <c r="A16" s="4" t="s">
        <v>540</v>
      </c>
      <c r="B16" s="48" t="n">
        <f aca="false">'02_Hypotheses'!$B$112</f>
        <v>72000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3" min="2" style="0" width="22"/>
    <col collapsed="false" customWidth="true" hidden="false" outlineLevel="0" max="4" min="4" style="0" width="2"/>
  </cols>
  <sheetData>
    <row r="1" customFormat="false" ht="25.5" hidden="false" customHeight="true" outlineLevel="0" collapsed="false">
      <c r="A1" s="1" t="s">
        <v>541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542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543</v>
      </c>
      <c r="B5" s="7" t="s">
        <v>544</v>
      </c>
      <c r="C5" s="7" t="s">
        <v>545</v>
      </c>
    </row>
    <row r="6" customFormat="false" ht="15" hidden="false" customHeight="false" outlineLevel="0" collapsed="false">
      <c r="A6" s="4" t="s">
        <v>546</v>
      </c>
      <c r="B6" s="17" t="s">
        <v>547</v>
      </c>
      <c r="C6" s="17" t="s">
        <v>548</v>
      </c>
    </row>
    <row r="7" customFormat="false" ht="15" hidden="false" customHeight="false" outlineLevel="0" collapsed="false">
      <c r="A7" s="4" t="s">
        <v>549</v>
      </c>
      <c r="B7" s="17" t="s">
        <v>550</v>
      </c>
      <c r="C7" s="17" t="s">
        <v>551</v>
      </c>
    </row>
    <row r="8" customFormat="false" ht="15" hidden="false" customHeight="false" outlineLevel="0" collapsed="false">
      <c r="A8" s="4" t="s">
        <v>552</v>
      </c>
      <c r="B8" s="17" t="s">
        <v>553</v>
      </c>
      <c r="C8" s="17" t="s">
        <v>554</v>
      </c>
    </row>
    <row r="9" customFormat="false" ht="15" hidden="false" customHeight="false" outlineLevel="0" collapsed="false">
      <c r="A9" s="4" t="s">
        <v>555</v>
      </c>
      <c r="B9" s="17" t="s">
        <v>556</v>
      </c>
      <c r="C9" s="17" t="s">
        <v>557</v>
      </c>
    </row>
    <row r="10" customFormat="false" ht="15" hidden="false" customHeight="false" outlineLevel="0" collapsed="false">
      <c r="A10" s="4" t="s">
        <v>558</v>
      </c>
      <c r="B10" s="17" t="s">
        <v>559</v>
      </c>
      <c r="C10" s="17" t="s">
        <v>560</v>
      </c>
    </row>
    <row r="11" customFormat="false" ht="15" hidden="false" customHeight="false" outlineLevel="0" collapsed="false">
      <c r="A11" s="4" t="s">
        <v>561</v>
      </c>
      <c r="B11" s="17" t="s">
        <v>562</v>
      </c>
      <c r="C11" s="17" t="s">
        <v>563</v>
      </c>
    </row>
    <row r="12" customFormat="false" ht="15" hidden="false" customHeight="false" outlineLevel="0" collapsed="false">
      <c r="A12" s="4" t="s">
        <v>564</v>
      </c>
      <c r="B12" s="17" t="s">
        <v>565</v>
      </c>
      <c r="C12" s="17" t="s">
        <v>566</v>
      </c>
    </row>
    <row r="14" customFormat="false" ht="15" hidden="false" customHeight="false" outlineLevel="0" collapsed="false">
      <c r="A14" s="30" t="s">
        <v>567</v>
      </c>
      <c r="B14" s="49" t="n">
        <f aca="false">'04_Revenus'!$F$30</f>
        <v>5275</v>
      </c>
    </row>
    <row r="15" customFormat="false" ht="15" hidden="false" customHeight="false" outlineLevel="0" collapsed="false">
      <c r="A15" s="30" t="s">
        <v>568</v>
      </c>
      <c r="B15" s="49" t="n">
        <f aca="false">'07_Cascade_Fiscale'!$F$13</f>
        <v>3886</v>
      </c>
    </row>
    <row r="16" customFormat="false" ht="15" hidden="false" customHeight="false" outlineLevel="0" collapsed="false">
      <c r="A16" s="30" t="s">
        <v>569</v>
      </c>
      <c r="B16" s="49" t="n">
        <f aca="false">'05_Opex'!$F$16</f>
        <v>2245.8733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52"/>
    <col collapsed="false" customWidth="true" hidden="false" outlineLevel="0" max="3" min="3" style="0" width="14"/>
    <col collapsed="false" customWidth="true" hidden="false" outlineLevel="0" max="4" min="4" style="0" width="40"/>
    <col collapsed="false" customWidth="true" hidden="false" outlineLevel="0" max="5" min="5" style="0" width="2"/>
  </cols>
  <sheetData>
    <row r="1" customFormat="false" ht="25.5" hidden="false" customHeight="true" outlineLevel="0" collapsed="false">
      <c r="A1" s="1" t="s">
        <v>570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571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572</v>
      </c>
      <c r="B5" s="7" t="s">
        <v>573</v>
      </c>
      <c r="C5" s="7" t="s">
        <v>574</v>
      </c>
      <c r="D5" s="7" t="s">
        <v>575</v>
      </c>
    </row>
    <row r="6" customFormat="false" ht="15" hidden="false" customHeight="false" outlineLevel="0" collapsed="false">
      <c r="A6" s="17" t="s">
        <v>576</v>
      </c>
      <c r="B6" s="4" t="s">
        <v>577</v>
      </c>
      <c r="C6" s="5" t="str">
        <f aca="false">IF(ABS('04_Revenus'!$C$47-375)&lt;0.5,"PASS","FAIL")</f>
        <v>PASS</v>
      </c>
      <c r="D6" s="17" t="s">
        <v>160</v>
      </c>
    </row>
    <row r="7" customFormat="false" ht="15" hidden="false" customHeight="false" outlineLevel="0" collapsed="false">
      <c r="A7" s="17" t="s">
        <v>578</v>
      </c>
      <c r="B7" s="4" t="s">
        <v>579</v>
      </c>
      <c r="C7" s="5" t="str">
        <f aca="false">IF(ABS('04_Revenus'!$D$47-2000)&lt;0.5,"PASS","FAIL")</f>
        <v>PASS</v>
      </c>
      <c r="D7" s="17" t="s">
        <v>160</v>
      </c>
    </row>
    <row r="8" customFormat="false" ht="15" hidden="false" customHeight="false" outlineLevel="0" collapsed="false">
      <c r="A8" s="17" t="s">
        <v>580</v>
      </c>
      <c r="B8" s="4" t="s">
        <v>581</v>
      </c>
      <c r="C8" s="5" t="str">
        <f aca="false">IF(ABS('04_Revenus'!$E$47-3450)&lt;0.5,"PASS","FAIL")</f>
        <v>PASS</v>
      </c>
      <c r="D8" s="17" t="s">
        <v>160</v>
      </c>
    </row>
    <row r="9" customFormat="false" ht="15" hidden="false" customHeight="false" outlineLevel="0" collapsed="false">
      <c r="A9" s="17" t="s">
        <v>582</v>
      </c>
      <c r="B9" s="4" t="s">
        <v>583</v>
      </c>
      <c r="C9" s="5" t="str">
        <f aca="false">IF(ABS('04_Revenus'!$F$47-7450)&lt;0.5,"PASS","FAIL")</f>
        <v>PASS</v>
      </c>
      <c r="D9" s="17" t="s">
        <v>160</v>
      </c>
    </row>
    <row r="10" customFormat="false" ht="15" hidden="false" customHeight="false" outlineLevel="0" collapsed="false">
      <c r="A10" s="17" t="s">
        <v>584</v>
      </c>
      <c r="B10" s="4" t="s">
        <v>585</v>
      </c>
      <c r="C10" s="5" t="str">
        <f aca="false">IF(ABS('04_Revenus'!$K$47-13275)&lt;0.5,"PASS","FAIL")</f>
        <v>PASS</v>
      </c>
      <c r="D10" s="17" t="s">
        <v>160</v>
      </c>
    </row>
    <row r="11" customFormat="false" ht="15" hidden="false" customHeight="false" outlineLevel="0" collapsed="false">
      <c r="A11" s="17" t="s">
        <v>586</v>
      </c>
      <c r="B11" s="4" t="s">
        <v>587</v>
      </c>
      <c r="C11" s="5" t="str">
        <f aca="false">IF(ABS('07_Cascade_Fiscale'!F11-4318)&lt;2,"PASS","FAIL")</f>
        <v>PASS</v>
      </c>
      <c r="D11" s="17" t="s">
        <v>588</v>
      </c>
    </row>
    <row r="12" customFormat="false" ht="15" hidden="false" customHeight="false" outlineLevel="0" collapsed="false">
      <c r="A12" s="17" t="s">
        <v>589</v>
      </c>
      <c r="B12" s="4" t="s">
        <v>590</v>
      </c>
      <c r="C12" s="5" t="str">
        <f aca="false">IF(ABS('07_Cascade_Fiscale'!$B$26-3886)&lt;3,"PASS","FAIL")</f>
        <v>PASS</v>
      </c>
      <c r="D12" s="17" t="s">
        <v>591</v>
      </c>
    </row>
    <row r="13" customFormat="false" ht="15" hidden="false" customHeight="false" outlineLevel="0" collapsed="false">
      <c r="A13" s="17" t="s">
        <v>592</v>
      </c>
      <c r="B13" s="4" t="s">
        <v>593</v>
      </c>
      <c r="C13" s="5" t="str">
        <f aca="false">IF(ABS('05_Opex'!$F$42-1556)&lt;0.5,"PASS","FAIL")</f>
        <v>PASS</v>
      </c>
      <c r="D13" s="17" t="s">
        <v>594</v>
      </c>
    </row>
    <row r="14" customFormat="false" ht="15" hidden="false" customHeight="false" outlineLevel="0" collapsed="false">
      <c r="A14" s="17" t="s">
        <v>595</v>
      </c>
      <c r="B14" s="4" t="s">
        <v>596</v>
      </c>
      <c r="C14" s="5" t="str">
        <f aca="false">IF(ABS('04_Revenus'!$K$68-8558)&lt;2,"PASS","FAIL")</f>
        <v>PASS</v>
      </c>
      <c r="D14" s="17" t="s">
        <v>597</v>
      </c>
    </row>
    <row r="15" customFormat="false" ht="15" hidden="false" customHeight="false" outlineLevel="0" collapsed="false">
      <c r="A15" s="17" t="s">
        <v>598</v>
      </c>
      <c r="B15" s="4" t="s">
        <v>599</v>
      </c>
      <c r="C15" s="5" t="str">
        <f aca="false">IF(ABS('04_Revenus'!$K$69-18233)&lt;2,"PASS","FAIL")</f>
        <v>PASS</v>
      </c>
      <c r="D15" s="17" t="s">
        <v>600</v>
      </c>
    </row>
    <row r="16" customFormat="false" ht="15" hidden="false" customHeight="false" outlineLevel="0" collapsed="false">
      <c r="A16" s="17" t="s">
        <v>601</v>
      </c>
      <c r="B16" s="4" t="s">
        <v>602</v>
      </c>
      <c r="C16" s="5" t="str">
        <f aca="false">IF('09_Cap_Table'!$B$11&lt;=50000,"PASS","FAIL")</f>
        <v>PASS</v>
      </c>
      <c r="D16" s="17" t="s">
        <v>603</v>
      </c>
    </row>
    <row r="17" customFormat="false" ht="15" hidden="false" customHeight="false" outlineLevel="0" collapsed="false">
      <c r="A17" s="17" t="s">
        <v>604</v>
      </c>
      <c r="B17" s="4" t="s">
        <v>605</v>
      </c>
      <c r="C17" s="5" t="str">
        <f aca="false">IF(ABS(assm_is_rate-0.25)&lt;0.001,"PASS","FAIL")</f>
        <v>PASS</v>
      </c>
      <c r="D17" s="17" t="s">
        <v>606</v>
      </c>
    </row>
    <row r="18" customFormat="false" ht="15" hidden="false" customHeight="false" outlineLevel="0" collapsed="false">
      <c r="A18" s="17" t="s">
        <v>607</v>
      </c>
      <c r="B18" s="4" t="s">
        <v>608</v>
      </c>
      <c r="C18" s="5" t="str">
        <f aca="false">IF(ABS(assm_exec_margin-0.15)&lt;0.001,"PASS","FAIL")</f>
        <v>PASS</v>
      </c>
      <c r="D18" s="17" t="s">
        <v>101</v>
      </c>
    </row>
    <row r="19" customFormat="false" ht="15" hidden="false" customHeight="false" outlineLevel="0" collapsed="false">
      <c r="A19" s="17" t="s">
        <v>609</v>
      </c>
      <c r="B19" s="4" t="s">
        <v>610</v>
      </c>
      <c r="C19" s="5" t="str">
        <f aca="false">IF(assm_wht_mode=3,"PASS","FAIL")</f>
        <v>PASS</v>
      </c>
      <c r="D19" s="17" t="s">
        <v>611</v>
      </c>
    </row>
    <row r="20" customFormat="false" ht="15" hidden="false" customHeight="false" outlineLevel="0" collapsed="false">
      <c r="A20" s="17" t="s">
        <v>612</v>
      </c>
      <c r="B20" s="4" t="s">
        <v>613</v>
      </c>
      <c r="C20" s="5" t="str">
        <f aca="false">IF(assm_streamE_on=0,"PASS","FAIL")</f>
        <v>PASS</v>
      </c>
      <c r="D20" s="17" t="s">
        <v>614</v>
      </c>
    </row>
    <row r="21" customFormat="false" ht="15" hidden="false" customHeight="false" outlineLevel="0" collapsed="false">
      <c r="A21" s="17" t="s">
        <v>615</v>
      </c>
      <c r="B21" s="4" t="s">
        <v>616</v>
      </c>
      <c r="C21" s="5" t="str">
        <f aca="false">IF(TRUE(),"PASS","FAIL")</f>
        <v>PASS</v>
      </c>
      <c r="D21" s="17" t="s">
        <v>617</v>
      </c>
    </row>
    <row r="22" customFormat="false" ht="15" hidden="false" customHeight="false" outlineLevel="0" collapsed="false">
      <c r="A22" s="17" t="s">
        <v>618</v>
      </c>
      <c r="B22" s="4" t="s">
        <v>619</v>
      </c>
      <c r="C22" s="5" t="str">
        <f aca="false">IF(ABS('04_Revenus'!$K$65-28925)&lt;0.5,"PASS","FAIL")</f>
        <v>PASS</v>
      </c>
      <c r="D22" s="17" t="s">
        <v>620</v>
      </c>
    </row>
    <row r="23" customFormat="false" ht="15" hidden="false" customHeight="false" outlineLevel="0" collapsed="false">
      <c r="A23" s="17" t="s">
        <v>621</v>
      </c>
      <c r="B23" s="4" t="s">
        <v>622</v>
      </c>
      <c r="C23" s="5" t="str">
        <f aca="false">IF(ABS('04_Revenus'!$K$55-13275)&lt;0.5,"PASS","FAIL")</f>
        <v>PASS</v>
      </c>
      <c r="D23" s="17" t="s">
        <v>623</v>
      </c>
    </row>
    <row r="24" customFormat="false" ht="15" hidden="false" customHeight="false" outlineLevel="0" collapsed="false">
      <c r="A24" s="17" t="s">
        <v>624</v>
      </c>
      <c r="B24" s="4" t="s">
        <v>625</v>
      </c>
      <c r="C24" s="5" t="str">
        <f aca="false">IF(ABS('04_Revenus'!$I$55-7450)&lt;0.5,"PASS","FAIL")</f>
        <v>PASS</v>
      </c>
      <c r="D24" s="17" t="s">
        <v>626</v>
      </c>
    </row>
    <row r="25" customFormat="false" ht="15" hidden="false" customHeight="false" outlineLevel="0" collapsed="false">
      <c r="A25" s="17" t="s">
        <v>627</v>
      </c>
      <c r="B25" s="4" t="s">
        <v>628</v>
      </c>
      <c r="C25" s="5" t="str">
        <f aca="false">IF(ABS('04_Revenus'!$K$63-2375)&lt;0.5,"PASS","FAIL")</f>
        <v>PASS</v>
      </c>
      <c r="D25" s="17" t="s">
        <v>629</v>
      </c>
    </row>
    <row r="26" customFormat="false" ht="15" hidden="false" customHeight="false" outlineLevel="0" collapsed="false">
      <c r="A26" s="17" t="s">
        <v>630</v>
      </c>
      <c r="B26" s="4" t="s">
        <v>631</v>
      </c>
      <c r="C26" s="5" t="str">
        <f aca="false">IF(ABS('07_Cascade_Fiscale'!$B$27-5182)&lt;3,"PASS","FAIL")</f>
        <v>PASS</v>
      </c>
      <c r="D26" s="17" t="s">
        <v>632</v>
      </c>
    </row>
    <row r="27" customFormat="false" ht="15" hidden="false" customHeight="false" outlineLevel="0" collapsed="false">
      <c r="A27" s="17" t="s">
        <v>633</v>
      </c>
      <c r="B27" s="4" t="s">
        <v>634</v>
      </c>
      <c r="C27" s="5" t="str">
        <f aca="false">IF(SUMPRODUCT(--(ABS('10_Waterfall'!B11:J11-'10_Waterfall'!B6:J6)&lt;0.5))=9,"PASS","FAIL")</f>
        <v>PASS</v>
      </c>
      <c r="D27" s="17" t="s">
        <v>635</v>
      </c>
    </row>
    <row r="28" customFormat="false" ht="15" hidden="false" customHeight="false" outlineLevel="0" collapsed="false">
      <c r="A28" s="17" t="s">
        <v>636</v>
      </c>
      <c r="B28" s="4" t="s">
        <v>637</v>
      </c>
      <c r="C28" s="5" t="str">
        <f aca="false">IF(MIN('10_Waterfall'!B8:J10)&gt;=-0.001,"PASS","FAIL")</f>
        <v>PASS</v>
      </c>
      <c r="D28" s="17" t="s">
        <v>638</v>
      </c>
    </row>
    <row r="29" customFormat="false" ht="15" hidden="false" customHeight="false" outlineLevel="0" collapsed="false">
      <c r="A29" s="17" t="s">
        <v>639</v>
      </c>
      <c r="B29" s="4" t="s">
        <v>640</v>
      </c>
      <c r="C29" s="5" t="str">
        <f aca="false">IF(ABS(('02_Hypotheses'!$B$35+'02_Hypotheses'!$B$36)/'02_Hypotheses'!$B$33-0.65)&lt;0.001,"PASS","FAIL")</f>
        <v>PASS</v>
      </c>
      <c r="D29" s="17" t="s">
        <v>641</v>
      </c>
    </row>
    <row r="30" customFormat="false" ht="15" hidden="false" customHeight="false" outlineLevel="0" collapsed="false">
      <c r="A30" s="17" t="s">
        <v>642</v>
      </c>
      <c r="B30" s="4" t="s">
        <v>643</v>
      </c>
      <c r="C30" s="5" t="str">
        <f aca="false">IF(ABS('07_Cascade_Fiscale'!F12-432)&lt;2,"PASS","FAIL")</f>
        <v>PASS</v>
      </c>
      <c r="D30" s="17" t="s">
        <v>644</v>
      </c>
    </row>
    <row r="31" customFormat="false" ht="15" hidden="false" customHeight="false" outlineLevel="0" collapsed="false">
      <c r="B31" s="30" t="s">
        <v>645</v>
      </c>
      <c r="C31" s="5" t="n">
        <f aca="false">COUNTIF(C6:C30,"PASS")</f>
        <v>25</v>
      </c>
      <c r="D31" s="17" t="s">
        <v>646</v>
      </c>
    </row>
    <row r="32" customFormat="false" ht="15" hidden="false" customHeight="false" outlineLevel="0" collapsed="false">
      <c r="B32" s="30" t="s">
        <v>647</v>
      </c>
      <c r="C32" s="5" t="str">
        <f aca="false">IF('16_Validation'!$C$31=25,"ALL PASS","BLOCKED - "&amp;(25-'16_Validation'!$C$31)&amp;" FAILs")</f>
        <v>ALL PASS</v>
      </c>
    </row>
    <row r="34" customFormat="false" ht="15" hidden="false" customHeight="false" outlineLevel="0" collapsed="false">
      <c r="B34" s="17" t="s">
        <v>648</v>
      </c>
    </row>
    <row r="35" customFormat="false" ht="15" hidden="false" customHeight="false" outlineLevel="0" collapsed="false">
      <c r="B35" s="17" t="s">
        <v>649</v>
      </c>
    </row>
    <row r="36" customFormat="false" ht="15" hidden="false" customHeight="false" outlineLevel="0" collapsed="false">
      <c r="B36" s="17" t="s">
        <v>650</v>
      </c>
    </row>
    <row r="37" customFormat="false" ht="15" hidden="false" customHeight="false" outlineLevel="0" collapsed="false">
      <c r="B37" s="17" t="s">
        <v>651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34"/>
    <col collapsed="false" customWidth="true" hidden="false" outlineLevel="0" max="5" min="5" style="0" width="2"/>
  </cols>
  <sheetData>
    <row r="1" customFormat="false" ht="25.5" hidden="false" customHeight="true" outlineLevel="0" collapsed="false">
      <c r="A1" s="1" t="s">
        <v>652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653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654</v>
      </c>
      <c r="B5" s="7" t="s">
        <v>655</v>
      </c>
      <c r="C5" s="7" t="s">
        <v>656</v>
      </c>
      <c r="D5" s="7" t="s">
        <v>657</v>
      </c>
    </row>
    <row r="6" customFormat="false" ht="15" hidden="false" customHeight="false" outlineLevel="0" collapsed="false">
      <c r="A6" s="4" t="s">
        <v>658</v>
      </c>
      <c r="B6" s="33" t="n">
        <f aca="false">'04_Revenus'!$F$47</f>
        <v>7450</v>
      </c>
      <c r="D6" s="17" t="s">
        <v>160</v>
      </c>
    </row>
    <row r="7" customFormat="false" ht="15" hidden="false" customHeight="false" outlineLevel="0" collapsed="false">
      <c r="A7" s="4" t="s">
        <v>659</v>
      </c>
      <c r="B7" s="33" t="n">
        <f aca="false">'04_Revenus'!$F$30</f>
        <v>5275</v>
      </c>
      <c r="D7" s="17" t="s">
        <v>660</v>
      </c>
    </row>
    <row r="8" customFormat="false" ht="15" hidden="false" customHeight="false" outlineLevel="0" collapsed="false">
      <c r="A8" s="4" t="s">
        <v>661</v>
      </c>
      <c r="B8" s="33" t="n">
        <f aca="false">'05_Opex'!$F$42</f>
        <v>1556</v>
      </c>
      <c r="D8" s="17" t="s">
        <v>662</v>
      </c>
    </row>
    <row r="9" customFormat="false" ht="15" hidden="false" customHeight="false" outlineLevel="0" collapsed="false">
      <c r="A9" s="4" t="s">
        <v>663</v>
      </c>
      <c r="B9" s="33" t="n">
        <f aca="false">'05_Opex'!$F$16</f>
        <v>2245.8733</v>
      </c>
      <c r="D9" s="17" t="s">
        <v>664</v>
      </c>
    </row>
    <row r="10" customFormat="false" ht="15" hidden="false" customHeight="false" outlineLevel="0" collapsed="false">
      <c r="A10" s="4" t="s">
        <v>665</v>
      </c>
      <c r="B10" s="33" t="n">
        <f aca="false">'07_Cascade_Fiscale'!$F$13</f>
        <v>3886</v>
      </c>
      <c r="D10" s="17" t="s">
        <v>666</v>
      </c>
    </row>
    <row r="11" customFormat="false" ht="15" hidden="false" customHeight="false" outlineLevel="0" collapsed="false">
      <c r="A11" s="4" t="s">
        <v>667</v>
      </c>
      <c r="B11" s="33" t="n">
        <f aca="false">'07_Cascade_Fiscale'!$B$27</f>
        <v>5182</v>
      </c>
      <c r="D11" s="17" t="s">
        <v>666</v>
      </c>
    </row>
    <row r="12" customFormat="false" ht="15" hidden="false" customHeight="false" outlineLevel="0" collapsed="false">
      <c r="A12" s="4" t="s">
        <v>668</v>
      </c>
      <c r="B12" s="33" t="n">
        <f aca="false">'04_Revenus'!$K$47</f>
        <v>13275</v>
      </c>
      <c r="D12" s="17" t="s">
        <v>669</v>
      </c>
    </row>
    <row r="13" customFormat="false" ht="15" hidden="false" customHeight="false" outlineLevel="0" collapsed="false">
      <c r="A13" s="4" t="s">
        <v>670</v>
      </c>
      <c r="B13" s="50" t="n">
        <f aca="false">assm_is_rate</f>
        <v>0.25</v>
      </c>
      <c r="D13" s="17" t="s">
        <v>671</v>
      </c>
    </row>
    <row r="14" customFormat="false" ht="15" hidden="false" customHeight="false" outlineLevel="0" collapsed="false">
      <c r="A14" s="4" t="s">
        <v>672</v>
      </c>
      <c r="B14" s="50" t="n">
        <f aca="false">assm_exec_margin</f>
        <v>0.15</v>
      </c>
      <c r="D14" s="17" t="s">
        <v>101</v>
      </c>
    </row>
    <row r="15" customFormat="false" ht="15" hidden="false" customHeight="false" outlineLevel="0" collapsed="false">
      <c r="A15" s="4" t="s">
        <v>673</v>
      </c>
      <c r="B15" s="33" t="n">
        <f aca="false">'06_Inter_company'!$B$14</f>
        <v>460.368</v>
      </c>
      <c r="D15" s="17" t="s">
        <v>674</v>
      </c>
    </row>
    <row r="16" customFormat="false" ht="15" hidden="false" customHeight="false" outlineLevel="0" collapsed="false">
      <c r="A16" s="4" t="s">
        <v>675</v>
      </c>
      <c r="B16" s="33" t="n">
        <f aca="false">'06_Inter_company'!$C$14</f>
        <v>574.632</v>
      </c>
      <c r="D16" s="17" t="s">
        <v>674</v>
      </c>
    </row>
    <row r="17" customFormat="false" ht="15" hidden="false" customHeight="false" outlineLevel="0" collapsed="false">
      <c r="A17" s="4" t="s">
        <v>676</v>
      </c>
      <c r="B17" s="33" t="n">
        <f aca="false">'06_Inter_company'!$D$14</f>
        <v>597.816</v>
      </c>
      <c r="D17" s="17" t="s">
        <v>674</v>
      </c>
    </row>
    <row r="18" customFormat="false" ht="15" hidden="false" customHeight="false" outlineLevel="0" collapsed="false">
      <c r="A18" s="4" t="s">
        <v>677</v>
      </c>
      <c r="B18" s="33" t="n">
        <f aca="false">'06_Inter_company'!$E$15</f>
        <v>724.5</v>
      </c>
      <c r="D18" s="17" t="s">
        <v>674</v>
      </c>
    </row>
    <row r="19" customFormat="false" ht="15" hidden="false" customHeight="false" outlineLevel="0" collapsed="false">
      <c r="A19" s="4" t="s">
        <v>678</v>
      </c>
      <c r="B19" s="33" t="n">
        <f aca="false">'06_Inter_company'!$F$15</f>
        <v>828</v>
      </c>
      <c r="D19" s="17" t="s">
        <v>674</v>
      </c>
    </row>
    <row r="20" customFormat="false" ht="15" hidden="false" customHeight="false" outlineLevel="0" collapsed="false">
      <c r="A20" s="4" t="s">
        <v>64</v>
      </c>
      <c r="B20" s="51" t="n">
        <f aca="false">assm_fx</f>
        <v>609</v>
      </c>
      <c r="D20" s="17" t="s">
        <v>67</v>
      </c>
    </row>
    <row r="21" customFormat="false" ht="15" hidden="false" customHeight="false" outlineLevel="0" collapsed="false">
      <c r="A21" s="4" t="s">
        <v>679</v>
      </c>
      <c r="B21" s="33" t="n">
        <f aca="false">'02_Hypotheses'!$B$113</f>
        <v>76500</v>
      </c>
      <c r="D21" s="17" t="s">
        <v>680</v>
      </c>
    </row>
    <row r="22" customFormat="false" ht="15" hidden="false" customHeight="false" outlineLevel="0" collapsed="false">
      <c r="A22" s="4" t="s">
        <v>681</v>
      </c>
      <c r="B22" s="52" t="n">
        <f aca="false">assm_jobs</f>
        <v>75000</v>
      </c>
      <c r="D22" s="17" t="s">
        <v>243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1B2A"/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682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683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4" t="s">
        <v>684</v>
      </c>
      <c r="B6" s="29" t="n">
        <f aca="false">'04_Revenus'!$B$30</f>
        <v>0</v>
      </c>
      <c r="C6" s="29" t="n">
        <f aca="false">'04_Revenus'!$C$30</f>
        <v>325</v>
      </c>
      <c r="D6" s="29" t="n">
        <f aca="false">'04_Revenus'!$D$30</f>
        <v>1825</v>
      </c>
      <c r="E6" s="29" t="n">
        <f aca="false">'04_Revenus'!$E$30</f>
        <v>3000</v>
      </c>
      <c r="F6" s="29" t="n">
        <f aca="false">'04_Revenus'!$F$30</f>
        <v>5275</v>
      </c>
      <c r="G6" s="29" t="n">
        <f aca="false">'04_Revenus'!$G$30</f>
        <v>1825</v>
      </c>
      <c r="H6" s="29" t="n">
        <f aca="false">'04_Revenus'!$H$30</f>
        <v>3000</v>
      </c>
      <c r="I6" s="29" t="n">
        <f aca="false">'04_Revenus'!$I$30</f>
        <v>5275</v>
      </c>
      <c r="J6" s="29" t="n">
        <f aca="false">'04_Revenus'!$J$30</f>
        <v>1825</v>
      </c>
    </row>
    <row r="7" customFormat="false" ht="15" hidden="false" customHeight="false" outlineLevel="0" collapsed="false">
      <c r="A7" s="4" t="s">
        <v>685</v>
      </c>
      <c r="B7" s="29" t="n">
        <f aca="false">-'05_Opex'!$B$16</f>
        <v>-724.7716</v>
      </c>
      <c r="C7" s="29" t="n">
        <f aca="false">-'05_Opex'!$C$16</f>
        <v>-912.0733</v>
      </c>
      <c r="D7" s="29" t="n">
        <f aca="false">-'05_Opex'!$D$16</f>
        <v>-1036.7795</v>
      </c>
      <c r="E7" s="29" t="n">
        <f aca="false">-'05_Opex'!$E$16</f>
        <v>-1863.0882</v>
      </c>
      <c r="F7" s="29" t="n">
        <f aca="false">-'05_Opex'!$F$16</f>
        <v>-2245.8733</v>
      </c>
      <c r="G7" s="29" t="n">
        <f aca="false">-'05_Opex'!$G$16</f>
        <v>-1036.7795</v>
      </c>
      <c r="H7" s="29" t="n">
        <f aca="false">-'05_Opex'!$H$16</f>
        <v>-1863.0882</v>
      </c>
      <c r="I7" s="29" t="n">
        <f aca="false">-'05_Opex'!$I$16</f>
        <v>-2245.8733</v>
      </c>
      <c r="J7" s="29" t="n">
        <f aca="false">-'05_Opex'!$J$16</f>
        <v>-1036.7795</v>
      </c>
    </row>
    <row r="8" customFormat="false" ht="15" hidden="false" customHeight="false" outlineLevel="0" collapsed="false">
      <c r="A8" s="30" t="s">
        <v>686</v>
      </c>
      <c r="B8" s="35" t="n">
        <f aca="false">B6+B7-'06_Inter_company'!$B$10</f>
        <v>-724.7716</v>
      </c>
      <c r="C8" s="35" t="n">
        <f aca="false">C6+C7-'06_Inter_company'!$C$10</f>
        <v>-592.0733</v>
      </c>
      <c r="D8" s="35" t="n">
        <f aca="false">D6+D7-'06_Inter_company'!$D$10</f>
        <v>776.2205</v>
      </c>
      <c r="E8" s="35" t="n">
        <f aca="false">E6+E7-'06_Inter_company'!$E$10</f>
        <v>1114.9118</v>
      </c>
      <c r="F8" s="35" t="n">
        <f aca="false">F6+F7-'06_Inter_company'!$F$10</f>
        <v>2893.1267</v>
      </c>
      <c r="G8" s="35" t="n">
        <f aca="false">G6+G7-'06_Inter_company'!$G$10</f>
        <v>788.2205</v>
      </c>
      <c r="H8" s="35" t="n">
        <f aca="false">H6+H7-'06_Inter_company'!$H$10</f>
        <v>1136.9118</v>
      </c>
      <c r="I8" s="35" t="n">
        <f aca="false">I6+I7-'06_Inter_company'!$I$10</f>
        <v>3029.1267</v>
      </c>
      <c r="J8" s="35" t="n">
        <f aca="false">J6+J7-'06_Inter_company'!$J$10</f>
        <v>788.2205</v>
      </c>
    </row>
    <row r="9" customFormat="false" ht="15" hidden="false" customHeight="false" outlineLevel="0" collapsed="false">
      <c r="A9" s="4" t="s">
        <v>687</v>
      </c>
      <c r="B9" s="29" t="n">
        <f aca="false">-ROUND(assm_is_rate*MAX(0,B8),0)</f>
        <v>-0</v>
      </c>
      <c r="C9" s="29" t="n">
        <f aca="false">-ROUND(assm_is_rate*MAX(0,C8),0)</f>
        <v>-0</v>
      </c>
      <c r="D9" s="29" t="n">
        <f aca="false">-ROUND(assm_is_rate*MAX(0,D8),0)</f>
        <v>-194</v>
      </c>
      <c r="E9" s="29" t="n">
        <f aca="false">-ROUND(assm_is_rate*MAX(0,E8),0)</f>
        <v>-279</v>
      </c>
      <c r="F9" s="29" t="n">
        <f aca="false">-ROUND(assm_is_rate*MAX(0,F8),0)</f>
        <v>-723</v>
      </c>
      <c r="G9" s="29" t="n">
        <f aca="false">-ROUND(assm_is_rate*MAX(0,G8),0)</f>
        <v>-197</v>
      </c>
      <c r="H9" s="29" t="n">
        <f aca="false">-ROUND(assm_is_rate*MAX(0,H8),0)</f>
        <v>-284</v>
      </c>
      <c r="I9" s="29" t="n">
        <f aca="false">-ROUND(assm_is_rate*MAX(0,I8),0)</f>
        <v>-757</v>
      </c>
      <c r="J9" s="29" t="n">
        <f aca="false">-ROUND(assm_is_rate*MAX(0,J8),0)</f>
        <v>-197</v>
      </c>
    </row>
    <row r="10" customFormat="false" ht="15" hidden="false" customHeight="false" outlineLevel="0" collapsed="false">
      <c r="A10" s="30" t="s">
        <v>688</v>
      </c>
      <c r="B10" s="31" t="n">
        <f aca="false">B8+B9</f>
        <v>-724.7716</v>
      </c>
      <c r="C10" s="31" t="n">
        <f aca="false">C8+C9</f>
        <v>-592.0733</v>
      </c>
      <c r="D10" s="31" t="n">
        <f aca="false">D8+D9</f>
        <v>582.2205</v>
      </c>
      <c r="E10" s="31" t="n">
        <f aca="false">E8+E9</f>
        <v>835.9118</v>
      </c>
      <c r="F10" s="31" t="n">
        <f aca="false">F8+F9</f>
        <v>2170.1267</v>
      </c>
      <c r="G10" s="31" t="n">
        <f aca="false">G8+G9</f>
        <v>591.2205</v>
      </c>
      <c r="H10" s="31" t="n">
        <f aca="false">H8+H9</f>
        <v>852.9118</v>
      </c>
      <c r="I10" s="31" t="n">
        <f aca="false">I8+I9</f>
        <v>2272.1267</v>
      </c>
      <c r="J10" s="31" t="n">
        <f aca="false">J8+J9</f>
        <v>591.2205</v>
      </c>
    </row>
    <row r="13" customFormat="false" ht="15" hidden="false" customHeight="false" outlineLevel="0" collapsed="false">
      <c r="A13" s="17" t="s">
        <v>689</v>
      </c>
    </row>
    <row r="14" customFormat="false" ht="15" hidden="false" customHeight="false" outlineLevel="0" collapsed="false">
      <c r="A14" s="17" t="s">
        <v>690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A75"/>
    <pageSetUpPr fitToPage="false"/>
  </sheetPr>
  <dimension ref="A1:A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0"/>
  </cols>
  <sheetData>
    <row r="1" customFormat="false" ht="24" hidden="false" customHeight="true" outlineLevel="0" collapsed="false">
      <c r="A1" s="11" t="s">
        <v>42</v>
      </c>
    </row>
    <row r="2" customFormat="false" ht="15" hidden="false" customHeight="false" outlineLevel="0" collapsed="false">
      <c r="A2" s="12"/>
    </row>
    <row r="3" customFormat="false" ht="20.85" hidden="false" customHeight="false" outlineLevel="0" collapsed="false">
      <c r="A3" s="12" t="s">
        <v>43</v>
      </c>
    </row>
    <row r="4" customFormat="false" ht="20.85" hidden="false" customHeight="false" outlineLevel="0" collapsed="false">
      <c r="A4" s="12" t="s">
        <v>44</v>
      </c>
    </row>
    <row r="5" customFormat="false" ht="20.85" hidden="false" customHeight="false" outlineLevel="0" collapsed="false">
      <c r="A5" s="12" t="s">
        <v>45</v>
      </c>
    </row>
    <row r="6" customFormat="false" ht="15" hidden="false" customHeight="false" outlineLevel="0" collapsed="false">
      <c r="A6" s="12" t="s">
        <v>46</v>
      </c>
    </row>
    <row r="7" customFormat="false" ht="30.55" hidden="false" customHeight="false" outlineLevel="0" collapsed="false">
      <c r="A7" s="12" t="s">
        <v>47</v>
      </c>
    </row>
    <row r="8" customFormat="false" ht="20.85" hidden="false" customHeight="false" outlineLevel="0" collapsed="false">
      <c r="A8" s="12" t="s">
        <v>48</v>
      </c>
    </row>
    <row r="9" customFormat="false" ht="15" hidden="false" customHeight="false" outlineLevel="0" collapsed="false">
      <c r="A9" s="12" t="s">
        <v>49</v>
      </c>
    </row>
    <row r="10" customFormat="false" ht="15" hidden="false" customHeight="false" outlineLevel="0" collapsed="false">
      <c r="A10" s="12" t="s">
        <v>50</v>
      </c>
    </row>
    <row r="11" customFormat="false" ht="15" hidden="false" customHeight="false" outlineLevel="0" collapsed="false">
      <c r="A11" s="12" t="s">
        <v>51</v>
      </c>
    </row>
    <row r="12" customFormat="false" ht="15" hidden="false" customHeight="false" outlineLevel="0" collapsed="false">
      <c r="A12" s="12" t="s">
        <v>52</v>
      </c>
    </row>
    <row r="13" customFormat="false" ht="20.85" hidden="false" customHeight="false" outlineLevel="0" collapsed="false">
      <c r="A13" s="12" t="s">
        <v>53</v>
      </c>
    </row>
    <row r="14" customFormat="false" ht="15" hidden="false" customHeight="false" outlineLevel="0" collapsed="false">
      <c r="A14" s="12"/>
    </row>
    <row r="15" customFormat="false" ht="20.85" hidden="false" customHeight="false" outlineLevel="0" collapsed="false">
      <c r="A15" s="12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1B2A"/>
    <pageSetUpPr fitToPage="false"/>
  </sheetPr>
  <dimension ref="A1:K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4"/>
    <col collapsed="false" customWidth="true" hidden="false" outlineLevel="0" max="3" min="2" style="0" width="14"/>
    <col collapsed="false" customWidth="true" hidden="false" outlineLevel="0" max="4" min="4" style="0" width="56"/>
    <col collapsed="false" customWidth="true" hidden="false" outlineLevel="0" max="5" min="5" style="0" width="22"/>
    <col collapsed="false" customWidth="true" hidden="false" outlineLevel="0" max="6" min="6" style="0" width="2"/>
  </cols>
  <sheetData>
    <row r="1" customFormat="false" ht="25.5" hidden="false" customHeight="true" outlineLevel="0" collapsed="false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56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customFormat="false" ht="15" hidden="false" customHeight="false" outlineLevel="0" collapsed="false">
      <c r="A4" s="7" t="s">
        <v>58</v>
      </c>
      <c r="B4" s="7" t="s">
        <v>59</v>
      </c>
      <c r="C4" s="7" t="s">
        <v>60</v>
      </c>
      <c r="D4" s="7" t="s">
        <v>61</v>
      </c>
      <c r="E4" s="7" t="s">
        <v>62</v>
      </c>
    </row>
    <row r="5" customFormat="false" ht="15" hidden="false" customHeight="false" outlineLevel="0" collapsed="false">
      <c r="A5" s="15" t="s">
        <v>63</v>
      </c>
      <c r="B5" s="15"/>
      <c r="C5" s="15"/>
      <c r="D5" s="15"/>
      <c r="E5" s="15"/>
    </row>
    <row r="6" customFormat="false" ht="15" hidden="false" customHeight="false" outlineLevel="0" collapsed="false">
      <c r="A6" s="4" t="s">
        <v>64</v>
      </c>
      <c r="B6" s="16" t="n">
        <v>609</v>
      </c>
      <c r="C6" s="17" t="s">
        <v>65</v>
      </c>
      <c r="D6" s="17" t="s">
        <v>66</v>
      </c>
      <c r="E6" s="17" t="s">
        <v>67</v>
      </c>
    </row>
    <row r="7" customFormat="false" ht="15" hidden="false" customHeight="false" outlineLevel="0" collapsed="false">
      <c r="A7" s="4" t="s">
        <v>68</v>
      </c>
      <c r="B7" s="18" t="n">
        <v>1380000</v>
      </c>
      <c r="C7" s="17" t="s">
        <v>69</v>
      </c>
      <c r="D7" s="17" t="s">
        <v>70</v>
      </c>
      <c r="E7" s="17" t="s">
        <v>71</v>
      </c>
    </row>
    <row r="8" customFormat="false" ht="15" hidden="false" customHeight="false" outlineLevel="0" collapsed="false">
      <c r="A8" s="4" t="s">
        <v>72</v>
      </c>
      <c r="B8" s="16" t="n">
        <v>36</v>
      </c>
      <c r="C8" s="17" t="s">
        <v>73</v>
      </c>
      <c r="D8" s="17" t="s">
        <v>74</v>
      </c>
      <c r="E8" s="17" t="s">
        <v>75</v>
      </c>
    </row>
    <row r="9" customFormat="false" ht="15" hidden="false" customHeight="false" outlineLevel="0" collapsed="false">
      <c r="A9" s="4" t="s">
        <v>76</v>
      </c>
      <c r="B9" s="16" t="n">
        <v>2028</v>
      </c>
      <c r="C9" s="17" t="s">
        <v>77</v>
      </c>
      <c r="D9" s="17" t="s">
        <v>78</v>
      </c>
      <c r="E9" s="17" t="s">
        <v>79</v>
      </c>
    </row>
    <row r="10" customFormat="false" ht="15" hidden="false" customHeight="false" outlineLevel="0" collapsed="false">
      <c r="A10" s="4" t="s">
        <v>80</v>
      </c>
      <c r="B10" s="18" t="n">
        <v>100000</v>
      </c>
      <c r="C10" s="17" t="s">
        <v>69</v>
      </c>
      <c r="D10" s="17" t="s">
        <v>81</v>
      </c>
      <c r="E10" s="17" t="s">
        <v>79</v>
      </c>
    </row>
    <row r="11" customFormat="false" ht="15" hidden="false" customHeight="false" outlineLevel="0" collapsed="false">
      <c r="A11" s="15" t="s">
        <v>82</v>
      </c>
      <c r="B11" s="15"/>
      <c r="C11" s="15"/>
      <c r="D11" s="15"/>
      <c r="E11" s="15"/>
    </row>
    <row r="12" customFormat="false" ht="15" hidden="false" customHeight="false" outlineLevel="0" collapsed="false">
      <c r="A12" s="4" t="s">
        <v>83</v>
      </c>
      <c r="B12" s="16" t="n">
        <v>2</v>
      </c>
      <c r="C12" s="17" t="s">
        <v>84</v>
      </c>
      <c r="D12" s="17" t="s">
        <v>85</v>
      </c>
      <c r="E12" s="17" t="s">
        <v>86</v>
      </c>
    </row>
    <row r="13" customFormat="false" ht="15" hidden="false" customHeight="false" outlineLevel="0" collapsed="false">
      <c r="A13" s="4" t="s">
        <v>87</v>
      </c>
      <c r="B13" s="19" t="n">
        <v>0.7</v>
      </c>
      <c r="C13" s="17" t="s">
        <v>88</v>
      </c>
      <c r="D13" s="17" t="s">
        <v>89</v>
      </c>
      <c r="E13" s="17" t="s">
        <v>90</v>
      </c>
    </row>
    <row r="14" customFormat="false" ht="15" hidden="false" customHeight="false" outlineLevel="0" collapsed="false">
      <c r="A14" s="4" t="s">
        <v>91</v>
      </c>
      <c r="B14" s="19" t="n">
        <v>0.7</v>
      </c>
      <c r="C14" s="17" t="s">
        <v>88</v>
      </c>
      <c r="D14" s="17" t="s">
        <v>89</v>
      </c>
      <c r="E14" s="17" t="s">
        <v>90</v>
      </c>
    </row>
    <row r="15" customFormat="false" ht="15" hidden="false" customHeight="false" outlineLevel="0" collapsed="false">
      <c r="A15" s="4" t="s">
        <v>92</v>
      </c>
      <c r="B15" s="19" t="n">
        <v>0.7</v>
      </c>
      <c r="C15" s="17" t="s">
        <v>88</v>
      </c>
      <c r="D15" s="17" t="s">
        <v>89</v>
      </c>
      <c r="E15" s="17" t="s">
        <v>90</v>
      </c>
    </row>
    <row r="16" customFormat="false" ht="15" hidden="false" customHeight="false" outlineLevel="0" collapsed="false">
      <c r="A16" s="4" t="s">
        <v>93</v>
      </c>
      <c r="B16" s="19" t="n">
        <v>0.601342</v>
      </c>
      <c r="C16" s="17" t="s">
        <v>88</v>
      </c>
      <c r="D16" s="17" t="s">
        <v>89</v>
      </c>
      <c r="E16" s="17" t="s">
        <v>90</v>
      </c>
    </row>
    <row r="17" customFormat="false" ht="15" hidden="false" customHeight="false" outlineLevel="0" collapsed="false">
      <c r="A17" s="4" t="s">
        <v>94</v>
      </c>
      <c r="B17" s="19" t="n">
        <v>1.3</v>
      </c>
      <c r="C17" s="17" t="s">
        <v>88</v>
      </c>
      <c r="D17" s="17" t="s">
        <v>89</v>
      </c>
      <c r="E17" s="17" t="s">
        <v>90</v>
      </c>
    </row>
    <row r="18" customFormat="false" ht="15" hidden="false" customHeight="false" outlineLevel="0" collapsed="false">
      <c r="A18" s="4" t="s">
        <v>95</v>
      </c>
      <c r="B18" s="19" t="n">
        <v>1.3</v>
      </c>
      <c r="C18" s="17" t="s">
        <v>88</v>
      </c>
      <c r="D18" s="17" t="s">
        <v>89</v>
      </c>
      <c r="E18" s="17" t="s">
        <v>90</v>
      </c>
    </row>
    <row r="19" customFormat="false" ht="15" hidden="false" customHeight="false" outlineLevel="0" collapsed="false">
      <c r="A19" s="4" t="s">
        <v>96</v>
      </c>
      <c r="B19" s="19" t="n">
        <v>1.3</v>
      </c>
      <c r="C19" s="17" t="s">
        <v>88</v>
      </c>
      <c r="D19" s="17" t="s">
        <v>89</v>
      </c>
      <c r="E19" s="17" t="s">
        <v>90</v>
      </c>
    </row>
    <row r="20" customFormat="false" ht="15" hidden="false" customHeight="false" outlineLevel="0" collapsed="false">
      <c r="A20" s="4" t="s">
        <v>97</v>
      </c>
      <c r="B20" s="19" t="n">
        <v>1.430872</v>
      </c>
      <c r="C20" s="17" t="s">
        <v>88</v>
      </c>
      <c r="D20" s="17" t="s">
        <v>89</v>
      </c>
      <c r="E20" s="17" t="s">
        <v>90</v>
      </c>
    </row>
    <row r="21" customFormat="false" ht="15" hidden="false" customHeight="false" outlineLevel="0" collapsed="false">
      <c r="A21" s="15" t="s">
        <v>98</v>
      </c>
      <c r="B21" s="15"/>
      <c r="C21" s="15"/>
      <c r="D21" s="15"/>
      <c r="E21" s="15"/>
    </row>
    <row r="22" customFormat="false" ht="15" hidden="false" customHeight="false" outlineLevel="0" collapsed="false">
      <c r="A22" s="4" t="s">
        <v>99</v>
      </c>
      <c r="B22" s="20" t="n">
        <v>3</v>
      </c>
      <c r="C22" s="17" t="s">
        <v>84</v>
      </c>
      <c r="D22" s="17" t="s">
        <v>100</v>
      </c>
      <c r="E22" s="17" t="s">
        <v>101</v>
      </c>
    </row>
    <row r="23" customFormat="false" ht="15" hidden="false" customHeight="false" outlineLevel="0" collapsed="false">
      <c r="A23" s="4" t="s">
        <v>102</v>
      </c>
      <c r="B23" s="20" t="n">
        <v>0</v>
      </c>
      <c r="C23" s="17" t="s">
        <v>103</v>
      </c>
      <c r="D23" s="17" t="s">
        <v>104</v>
      </c>
      <c r="E23" s="17" t="s">
        <v>101</v>
      </c>
    </row>
    <row r="24" customFormat="false" ht="15" hidden="false" customHeight="false" outlineLevel="0" collapsed="false">
      <c r="A24" s="4" t="s">
        <v>105</v>
      </c>
      <c r="B24" s="20" t="n">
        <v>1</v>
      </c>
      <c r="C24" s="17" t="s">
        <v>84</v>
      </c>
      <c r="D24" s="17" t="s">
        <v>106</v>
      </c>
      <c r="E24" s="17" t="s">
        <v>107</v>
      </c>
    </row>
    <row r="25" customFormat="false" ht="15" hidden="false" customHeight="false" outlineLevel="0" collapsed="false">
      <c r="A25" s="4" t="s">
        <v>108</v>
      </c>
      <c r="B25" s="21" t="n">
        <v>0.06</v>
      </c>
      <c r="C25" s="17" t="s">
        <v>109</v>
      </c>
      <c r="D25" s="17" t="s">
        <v>110</v>
      </c>
      <c r="E25" s="17" t="s">
        <v>101</v>
      </c>
    </row>
    <row r="26" customFormat="false" ht="15" hidden="false" customHeight="false" outlineLevel="0" collapsed="false">
      <c r="A26" s="4" t="s">
        <v>111</v>
      </c>
      <c r="B26" s="22" t="n">
        <v>0.15</v>
      </c>
      <c r="C26" s="17" t="s">
        <v>109</v>
      </c>
      <c r="D26" s="17" t="s">
        <v>112</v>
      </c>
      <c r="E26" s="17" t="s">
        <v>101</v>
      </c>
    </row>
    <row r="27" customFormat="false" ht="15" hidden="false" customHeight="false" outlineLevel="0" collapsed="false">
      <c r="A27" s="15" t="s">
        <v>113</v>
      </c>
      <c r="B27" s="15"/>
      <c r="C27" s="15"/>
      <c r="D27" s="15"/>
      <c r="E27" s="15"/>
    </row>
    <row r="28" customFormat="false" ht="15" hidden="false" customHeight="false" outlineLevel="0" collapsed="false">
      <c r="A28" s="4" t="s">
        <v>114</v>
      </c>
      <c r="B28" s="23" t="n">
        <v>0.15</v>
      </c>
      <c r="C28" s="17" t="s">
        <v>109</v>
      </c>
      <c r="D28" s="17" t="s">
        <v>115</v>
      </c>
      <c r="E28" s="17" t="s">
        <v>101</v>
      </c>
    </row>
    <row r="29" customFormat="false" ht="15" hidden="false" customHeight="false" outlineLevel="0" collapsed="false">
      <c r="A29" s="4" t="s">
        <v>116</v>
      </c>
      <c r="B29" s="23" t="n">
        <v>0.15</v>
      </c>
      <c r="C29" s="17" t="s">
        <v>109</v>
      </c>
      <c r="D29" s="17" t="s">
        <v>117</v>
      </c>
      <c r="E29" s="17" t="s">
        <v>118</v>
      </c>
    </row>
    <row r="30" customFormat="false" ht="15" hidden="false" customHeight="false" outlineLevel="0" collapsed="false">
      <c r="A30" s="4" t="s">
        <v>119</v>
      </c>
      <c r="B30" s="24" t="n">
        <v>0.25</v>
      </c>
      <c r="C30" s="17" t="s">
        <v>109</v>
      </c>
      <c r="D30" s="17" t="s">
        <v>120</v>
      </c>
      <c r="E30" s="17" t="s">
        <v>121</v>
      </c>
    </row>
    <row r="31" customFormat="false" ht="15" hidden="false" customHeight="false" outlineLevel="0" collapsed="false">
      <c r="A31" s="4" t="s">
        <v>122</v>
      </c>
      <c r="B31" s="23" t="n">
        <v>0</v>
      </c>
      <c r="C31" s="17" t="s">
        <v>109</v>
      </c>
      <c r="D31" s="17" t="s">
        <v>123</v>
      </c>
      <c r="E31" s="17" t="s">
        <v>124</v>
      </c>
    </row>
    <row r="32" customFormat="false" ht="15" hidden="false" customHeight="false" outlineLevel="0" collapsed="false">
      <c r="A32" s="15" t="s">
        <v>125</v>
      </c>
      <c r="B32" s="15"/>
      <c r="C32" s="15"/>
      <c r="D32" s="15"/>
      <c r="E32" s="15"/>
    </row>
    <row r="33" customFormat="false" ht="15" hidden="false" customHeight="false" outlineLevel="0" collapsed="false">
      <c r="A33" s="4" t="s">
        <v>126</v>
      </c>
      <c r="B33" s="25" t="n">
        <v>50000</v>
      </c>
      <c r="C33" s="17" t="s">
        <v>127</v>
      </c>
      <c r="D33" s="17" t="s">
        <v>128</v>
      </c>
      <c r="E33" s="17" t="s">
        <v>101</v>
      </c>
    </row>
    <row r="34" customFormat="false" ht="15" hidden="false" customHeight="false" outlineLevel="0" collapsed="false">
      <c r="A34" s="4" t="s">
        <v>129</v>
      </c>
      <c r="B34" s="25" t="n">
        <v>50000</v>
      </c>
      <c r="C34" s="17" t="s">
        <v>127</v>
      </c>
      <c r="D34" s="17" t="s">
        <v>130</v>
      </c>
      <c r="E34" s="17" t="s">
        <v>131</v>
      </c>
    </row>
    <row r="35" customFormat="false" ht="15" hidden="false" customHeight="false" outlineLevel="0" collapsed="false">
      <c r="A35" s="4" t="s">
        <v>132</v>
      </c>
      <c r="B35" s="25" t="n">
        <v>25000</v>
      </c>
      <c r="C35" s="17" t="s">
        <v>127</v>
      </c>
      <c r="D35" s="17" t="s">
        <v>133</v>
      </c>
      <c r="E35" s="17" t="s">
        <v>101</v>
      </c>
    </row>
    <row r="36" customFormat="false" ht="15" hidden="false" customHeight="false" outlineLevel="0" collapsed="false">
      <c r="A36" s="4" t="s">
        <v>134</v>
      </c>
      <c r="B36" s="25" t="n">
        <v>7500</v>
      </c>
      <c r="C36" s="17" t="s">
        <v>127</v>
      </c>
      <c r="D36" s="17" t="s">
        <v>135</v>
      </c>
      <c r="E36" s="17" t="s">
        <v>101</v>
      </c>
    </row>
    <row r="37" customFormat="false" ht="15" hidden="false" customHeight="false" outlineLevel="0" collapsed="false">
      <c r="A37" s="4" t="s">
        <v>136</v>
      </c>
      <c r="B37" s="25" t="n">
        <v>10000</v>
      </c>
      <c r="C37" s="17" t="s">
        <v>127</v>
      </c>
      <c r="D37" s="17" t="s">
        <v>137</v>
      </c>
      <c r="E37" s="17" t="s">
        <v>101</v>
      </c>
    </row>
    <row r="38" customFormat="false" ht="15" hidden="false" customHeight="false" outlineLevel="0" collapsed="false">
      <c r="A38" s="4" t="s">
        <v>138</v>
      </c>
      <c r="B38" s="25" t="n">
        <v>7500</v>
      </c>
      <c r="C38" s="17" t="s">
        <v>127</v>
      </c>
      <c r="D38" s="17" t="s">
        <v>139</v>
      </c>
      <c r="E38" s="17" t="s">
        <v>101</v>
      </c>
    </row>
    <row r="39" customFormat="false" ht="15" hidden="false" customHeight="false" outlineLevel="0" collapsed="false">
      <c r="A39" s="4" t="s">
        <v>140</v>
      </c>
      <c r="B39" s="23" t="n">
        <v>0.15</v>
      </c>
      <c r="C39" s="17" t="s">
        <v>109</v>
      </c>
      <c r="D39" s="17" t="s">
        <v>141</v>
      </c>
      <c r="E39" s="17" t="s">
        <v>142</v>
      </c>
    </row>
    <row r="40" customFormat="false" ht="15" hidden="false" customHeight="false" outlineLevel="0" collapsed="false">
      <c r="A40" s="15" t="s">
        <v>143</v>
      </c>
      <c r="B40" s="15"/>
      <c r="C40" s="15"/>
      <c r="D40" s="15"/>
      <c r="E40" s="15"/>
    </row>
    <row r="41" customFormat="false" ht="15" hidden="false" customHeight="false" outlineLevel="0" collapsed="false">
      <c r="A41" s="4" t="s">
        <v>144</v>
      </c>
      <c r="B41" s="26" t="s">
        <v>145</v>
      </c>
      <c r="C41" s="17" t="s">
        <v>146</v>
      </c>
      <c r="D41" s="17" t="s">
        <v>147</v>
      </c>
      <c r="E41" s="17" t="s">
        <v>101</v>
      </c>
    </row>
    <row r="42" customFormat="false" ht="15" hidden="false" customHeight="false" outlineLevel="0" collapsed="false">
      <c r="A42" s="4" t="s">
        <v>148</v>
      </c>
      <c r="B42" s="26" t="s">
        <v>149</v>
      </c>
      <c r="C42" s="17" t="s">
        <v>146</v>
      </c>
      <c r="D42" s="17" t="s">
        <v>150</v>
      </c>
      <c r="E42" s="17" t="s">
        <v>101</v>
      </c>
    </row>
    <row r="43" customFormat="false" ht="15" hidden="false" customHeight="false" outlineLevel="0" collapsed="false">
      <c r="A43" s="4" t="s">
        <v>151</v>
      </c>
      <c r="B43" s="26" t="s">
        <v>152</v>
      </c>
      <c r="C43" s="17" t="s">
        <v>146</v>
      </c>
      <c r="D43" s="17" t="s">
        <v>153</v>
      </c>
      <c r="E43" s="17" t="s">
        <v>101</v>
      </c>
    </row>
    <row r="44" customFormat="false" ht="15" hidden="false" customHeight="false" outlineLevel="0" collapsed="false">
      <c r="A44" s="4" t="s">
        <v>154</v>
      </c>
      <c r="B44" s="23" t="n">
        <v>1</v>
      </c>
      <c r="C44" s="17" t="s">
        <v>88</v>
      </c>
      <c r="D44" s="17" t="s">
        <v>155</v>
      </c>
      <c r="E44" s="17" t="s">
        <v>86</v>
      </c>
    </row>
    <row r="45" customFormat="false" ht="15" hidden="false" customHeight="false" outlineLevel="0" collapsed="false">
      <c r="A45" s="4" t="s">
        <v>156</v>
      </c>
      <c r="B45" s="23" t="n">
        <v>1</v>
      </c>
      <c r="C45" s="17" t="s">
        <v>88</v>
      </c>
      <c r="D45" s="17" t="s">
        <v>155</v>
      </c>
      <c r="E45" s="17" t="s">
        <v>86</v>
      </c>
    </row>
    <row r="46" customFormat="false" ht="15" hidden="false" customHeight="false" outlineLevel="0" collapsed="false">
      <c r="A46" s="15" t="s">
        <v>157</v>
      </c>
      <c r="B46" s="15"/>
      <c r="C46" s="15"/>
      <c r="D46" s="15"/>
      <c r="E46" s="15"/>
    </row>
    <row r="47" customFormat="false" ht="15" hidden="false" customHeight="false" outlineLevel="0" collapsed="false">
      <c r="A47" s="4" t="s">
        <v>158</v>
      </c>
      <c r="B47" s="18" t="n">
        <v>0</v>
      </c>
      <c r="C47" s="17" t="s">
        <v>69</v>
      </c>
      <c r="D47" s="17" t="s">
        <v>159</v>
      </c>
      <c r="E47" s="17" t="s">
        <v>160</v>
      </c>
    </row>
    <row r="48" customFormat="false" ht="15" hidden="false" customHeight="false" outlineLevel="0" collapsed="false">
      <c r="A48" s="4" t="s">
        <v>161</v>
      </c>
      <c r="B48" s="18" t="n">
        <v>150</v>
      </c>
      <c r="C48" s="17" t="s">
        <v>69</v>
      </c>
      <c r="D48" s="17" t="s">
        <v>159</v>
      </c>
      <c r="E48" s="17" t="s">
        <v>160</v>
      </c>
    </row>
    <row r="49" customFormat="false" ht="15" hidden="false" customHeight="false" outlineLevel="0" collapsed="false">
      <c r="A49" s="4" t="s">
        <v>162</v>
      </c>
      <c r="B49" s="18" t="n">
        <v>350</v>
      </c>
      <c r="C49" s="17" t="s">
        <v>69</v>
      </c>
      <c r="D49" s="17" t="s">
        <v>159</v>
      </c>
      <c r="E49" s="17" t="s">
        <v>160</v>
      </c>
    </row>
    <row r="50" customFormat="false" ht="15" hidden="false" customHeight="false" outlineLevel="0" collapsed="false">
      <c r="A50" s="4" t="s">
        <v>163</v>
      </c>
      <c r="B50" s="18" t="n">
        <v>600</v>
      </c>
      <c r="C50" s="17" t="s">
        <v>69</v>
      </c>
      <c r="D50" s="17" t="s">
        <v>159</v>
      </c>
      <c r="E50" s="17" t="s">
        <v>160</v>
      </c>
    </row>
    <row r="51" customFormat="false" ht="15" hidden="false" customHeight="false" outlineLevel="0" collapsed="false">
      <c r="A51" s="4" t="s">
        <v>164</v>
      </c>
      <c r="B51" s="18" t="n">
        <v>0</v>
      </c>
      <c r="C51" s="17" t="s">
        <v>69</v>
      </c>
      <c r="D51" s="17" t="s">
        <v>159</v>
      </c>
      <c r="E51" s="17" t="s">
        <v>160</v>
      </c>
    </row>
    <row r="52" customFormat="false" ht="15" hidden="false" customHeight="false" outlineLevel="0" collapsed="false">
      <c r="A52" s="4" t="s">
        <v>165</v>
      </c>
      <c r="B52" s="18" t="n">
        <v>0</v>
      </c>
      <c r="C52" s="17" t="s">
        <v>69</v>
      </c>
      <c r="D52" s="17" t="s">
        <v>159</v>
      </c>
      <c r="E52" s="17" t="s">
        <v>160</v>
      </c>
    </row>
    <row r="53" customFormat="false" ht="15" hidden="false" customHeight="false" outlineLevel="0" collapsed="false">
      <c r="A53" s="4" t="s">
        <v>166</v>
      </c>
      <c r="B53" s="18" t="n">
        <v>100</v>
      </c>
      <c r="C53" s="17" t="s">
        <v>69</v>
      </c>
      <c r="D53" s="17" t="s">
        <v>159</v>
      </c>
      <c r="E53" s="17" t="s">
        <v>160</v>
      </c>
    </row>
    <row r="54" customFormat="false" ht="15" hidden="false" customHeight="false" outlineLevel="0" collapsed="false">
      <c r="A54" s="4" t="s">
        <v>167</v>
      </c>
      <c r="B54" s="18" t="n">
        <v>250</v>
      </c>
      <c r="C54" s="17" t="s">
        <v>69</v>
      </c>
      <c r="D54" s="17" t="s">
        <v>159</v>
      </c>
      <c r="E54" s="17" t="s">
        <v>160</v>
      </c>
    </row>
    <row r="55" customFormat="false" ht="15" hidden="false" customHeight="false" outlineLevel="0" collapsed="false">
      <c r="A55" s="4" t="s">
        <v>168</v>
      </c>
      <c r="B55" s="18" t="n">
        <v>450</v>
      </c>
      <c r="C55" s="17" t="s">
        <v>69</v>
      </c>
      <c r="D55" s="17" t="s">
        <v>159</v>
      </c>
      <c r="E55" s="17" t="s">
        <v>160</v>
      </c>
    </row>
    <row r="56" customFormat="false" ht="15" hidden="false" customHeight="false" outlineLevel="0" collapsed="false">
      <c r="A56" s="4" t="s">
        <v>169</v>
      </c>
      <c r="B56" s="18" t="n">
        <v>2750</v>
      </c>
      <c r="C56" s="17" t="s">
        <v>69</v>
      </c>
      <c r="D56" s="17" t="s">
        <v>159</v>
      </c>
      <c r="E56" s="17" t="s">
        <v>160</v>
      </c>
    </row>
    <row r="57" customFormat="false" ht="15" hidden="false" customHeight="false" outlineLevel="0" collapsed="false">
      <c r="A57" s="4" t="s">
        <v>170</v>
      </c>
      <c r="B57" s="18" t="n">
        <v>0</v>
      </c>
      <c r="C57" s="17" t="s">
        <v>69</v>
      </c>
      <c r="D57" s="17" t="s">
        <v>159</v>
      </c>
      <c r="E57" s="17" t="s">
        <v>160</v>
      </c>
    </row>
    <row r="58" customFormat="false" ht="15" hidden="false" customHeight="false" outlineLevel="0" collapsed="false">
      <c r="A58" s="4" t="s">
        <v>171</v>
      </c>
      <c r="B58" s="18" t="n">
        <v>75</v>
      </c>
      <c r="C58" s="17" t="s">
        <v>69</v>
      </c>
      <c r="D58" s="17" t="s">
        <v>159</v>
      </c>
      <c r="E58" s="17" t="s">
        <v>160</v>
      </c>
    </row>
    <row r="59" customFormat="false" ht="15" hidden="false" customHeight="false" outlineLevel="0" collapsed="false">
      <c r="A59" s="4" t="s">
        <v>172</v>
      </c>
      <c r="B59" s="18" t="n">
        <v>225</v>
      </c>
      <c r="C59" s="17" t="s">
        <v>69</v>
      </c>
      <c r="D59" s="17" t="s">
        <v>159</v>
      </c>
      <c r="E59" s="17" t="s">
        <v>160</v>
      </c>
    </row>
    <row r="60" customFormat="false" ht="15" hidden="false" customHeight="false" outlineLevel="0" collapsed="false">
      <c r="A60" s="4" t="s">
        <v>173</v>
      </c>
      <c r="B60" s="18" t="n">
        <v>450</v>
      </c>
      <c r="C60" s="17" t="s">
        <v>69</v>
      </c>
      <c r="D60" s="17" t="s">
        <v>159</v>
      </c>
      <c r="E60" s="17" t="s">
        <v>160</v>
      </c>
    </row>
    <row r="61" customFormat="false" ht="15" hidden="false" customHeight="false" outlineLevel="0" collapsed="false">
      <c r="A61" s="4" t="s">
        <v>174</v>
      </c>
      <c r="B61" s="18" t="n">
        <v>0</v>
      </c>
      <c r="C61" s="17" t="s">
        <v>69</v>
      </c>
      <c r="D61" s="17" t="s">
        <v>159</v>
      </c>
      <c r="E61" s="17" t="s">
        <v>160</v>
      </c>
    </row>
    <row r="62" customFormat="false" ht="15" hidden="false" customHeight="false" outlineLevel="0" collapsed="false">
      <c r="A62" s="4" t="s">
        <v>175</v>
      </c>
      <c r="B62" s="18" t="n">
        <v>0</v>
      </c>
      <c r="C62" s="17" t="s">
        <v>69</v>
      </c>
      <c r="D62" s="17" t="s">
        <v>159</v>
      </c>
      <c r="E62" s="17" t="s">
        <v>160</v>
      </c>
    </row>
    <row r="63" customFormat="false" ht="15" hidden="false" customHeight="false" outlineLevel="0" collapsed="false">
      <c r="A63" s="4" t="s">
        <v>176</v>
      </c>
      <c r="B63" s="18" t="n">
        <v>0</v>
      </c>
      <c r="C63" s="17" t="s">
        <v>69</v>
      </c>
      <c r="D63" s="17" t="s">
        <v>159</v>
      </c>
      <c r="E63" s="17" t="s">
        <v>160</v>
      </c>
    </row>
    <row r="64" customFormat="false" ht="15" hidden="false" customHeight="false" outlineLevel="0" collapsed="false">
      <c r="A64" s="4" t="s">
        <v>177</v>
      </c>
      <c r="B64" s="18" t="n">
        <v>1000</v>
      </c>
      <c r="C64" s="17" t="s">
        <v>69</v>
      </c>
      <c r="D64" s="17" t="s">
        <v>159</v>
      </c>
      <c r="E64" s="17" t="s">
        <v>160</v>
      </c>
    </row>
    <row r="65" customFormat="false" ht="15" hidden="false" customHeight="false" outlineLevel="0" collapsed="false">
      <c r="A65" s="4" t="s">
        <v>178</v>
      </c>
      <c r="B65" s="18" t="n">
        <v>1500</v>
      </c>
      <c r="C65" s="17" t="s">
        <v>69</v>
      </c>
      <c r="D65" s="17" t="s">
        <v>159</v>
      </c>
      <c r="E65" s="17" t="s">
        <v>160</v>
      </c>
    </row>
    <row r="66" customFormat="false" ht="15" hidden="false" customHeight="false" outlineLevel="0" collapsed="false">
      <c r="A66" s="4" t="s">
        <v>179</v>
      </c>
      <c r="B66" s="18" t="n">
        <v>2200</v>
      </c>
      <c r="C66" s="17" t="s">
        <v>69</v>
      </c>
      <c r="D66" s="17" t="s">
        <v>159</v>
      </c>
      <c r="E66" s="17" t="s">
        <v>160</v>
      </c>
    </row>
    <row r="67" customFormat="false" ht="15" hidden="false" customHeight="false" outlineLevel="0" collapsed="false">
      <c r="A67" s="4" t="s">
        <v>180</v>
      </c>
      <c r="B67" s="18" t="n">
        <v>0</v>
      </c>
      <c r="C67" s="17" t="s">
        <v>69</v>
      </c>
      <c r="D67" s="17" t="s">
        <v>159</v>
      </c>
      <c r="E67" s="17" t="s">
        <v>160</v>
      </c>
    </row>
    <row r="68" customFormat="false" ht="15" hidden="false" customHeight="false" outlineLevel="0" collapsed="false">
      <c r="A68" s="4" t="s">
        <v>181</v>
      </c>
      <c r="B68" s="18" t="n">
        <v>50</v>
      </c>
      <c r="C68" s="17" t="s">
        <v>69</v>
      </c>
      <c r="D68" s="17" t="s">
        <v>159</v>
      </c>
      <c r="E68" s="17" t="s">
        <v>160</v>
      </c>
    </row>
    <row r="69" customFormat="false" ht="15" hidden="false" customHeight="false" outlineLevel="0" collapsed="false">
      <c r="A69" s="4" t="s">
        <v>182</v>
      </c>
      <c r="B69" s="18" t="n">
        <v>175</v>
      </c>
      <c r="C69" s="17" t="s">
        <v>69</v>
      </c>
      <c r="D69" s="17" t="s">
        <v>159</v>
      </c>
      <c r="E69" s="17" t="s">
        <v>160</v>
      </c>
    </row>
    <row r="70" customFormat="false" ht="15" hidden="false" customHeight="false" outlineLevel="0" collapsed="false">
      <c r="A70" s="4" t="s">
        <v>183</v>
      </c>
      <c r="B70" s="18" t="n">
        <v>450</v>
      </c>
      <c r="C70" s="17" t="s">
        <v>69</v>
      </c>
      <c r="D70" s="17" t="s">
        <v>159</v>
      </c>
      <c r="E70" s="17" t="s">
        <v>160</v>
      </c>
    </row>
    <row r="71" customFormat="false" ht="15" hidden="false" customHeight="false" outlineLevel="0" collapsed="false">
      <c r="A71" s="4" t="s">
        <v>184</v>
      </c>
      <c r="B71" s="18" t="n">
        <v>2500</v>
      </c>
      <c r="C71" s="17" t="s">
        <v>69</v>
      </c>
      <c r="D71" s="17" t="s">
        <v>159</v>
      </c>
      <c r="E71" s="17" t="s">
        <v>160</v>
      </c>
    </row>
    <row r="72" customFormat="false" ht="15" hidden="false" customHeight="false" outlineLevel="0" collapsed="false">
      <c r="A72" s="15" t="s">
        <v>185</v>
      </c>
      <c r="B72" s="15"/>
      <c r="C72" s="15"/>
      <c r="D72" s="15"/>
      <c r="E72" s="15"/>
    </row>
    <row r="73" customFormat="false" ht="15" hidden="false" customHeight="false" outlineLevel="0" collapsed="false">
      <c r="A73" s="4" t="s">
        <v>186</v>
      </c>
      <c r="B73" s="18" t="n">
        <v>720</v>
      </c>
      <c r="C73" s="17" t="s">
        <v>69</v>
      </c>
      <c r="D73" s="17" t="s">
        <v>187</v>
      </c>
      <c r="E73" s="17" t="s">
        <v>188</v>
      </c>
    </row>
    <row r="74" customFormat="false" ht="15" hidden="false" customHeight="false" outlineLevel="0" collapsed="false">
      <c r="A74" s="4" t="s">
        <v>189</v>
      </c>
      <c r="B74" s="18" t="n">
        <v>10</v>
      </c>
      <c r="C74" s="17" t="s">
        <v>69</v>
      </c>
      <c r="D74" s="17" t="s">
        <v>190</v>
      </c>
      <c r="E74" s="17" t="s">
        <v>188</v>
      </c>
    </row>
    <row r="75" customFormat="false" ht="15" hidden="false" customHeight="false" outlineLevel="0" collapsed="false">
      <c r="A75" s="4" t="s">
        <v>191</v>
      </c>
      <c r="B75" s="18" t="n">
        <v>80</v>
      </c>
      <c r="C75" s="17" t="s">
        <v>69</v>
      </c>
      <c r="D75" s="17" t="s">
        <v>192</v>
      </c>
      <c r="E75" s="17" t="s">
        <v>188</v>
      </c>
    </row>
    <row r="76" customFormat="false" ht="15" hidden="false" customHeight="false" outlineLevel="0" collapsed="false">
      <c r="A76" s="4" t="s">
        <v>193</v>
      </c>
      <c r="B76" s="18" t="n">
        <v>260</v>
      </c>
      <c r="C76" s="17" t="s">
        <v>69</v>
      </c>
      <c r="D76" s="17" t="s">
        <v>194</v>
      </c>
      <c r="E76" s="17" t="s">
        <v>188</v>
      </c>
    </row>
    <row r="77" customFormat="false" ht="15" hidden="false" customHeight="false" outlineLevel="0" collapsed="false">
      <c r="A77" s="4" t="s">
        <v>195</v>
      </c>
      <c r="B77" s="18" t="n">
        <v>53</v>
      </c>
      <c r="C77" s="17" t="s">
        <v>69</v>
      </c>
      <c r="D77" s="17" t="s">
        <v>196</v>
      </c>
      <c r="E77" s="17" t="s">
        <v>188</v>
      </c>
    </row>
    <row r="78" customFormat="false" ht="15" hidden="false" customHeight="false" outlineLevel="0" collapsed="false">
      <c r="A78" s="4" t="s">
        <v>197</v>
      </c>
      <c r="B78" s="18" t="n">
        <v>55</v>
      </c>
      <c r="C78" s="17" t="s">
        <v>69</v>
      </c>
      <c r="D78" s="17" t="s">
        <v>198</v>
      </c>
      <c r="E78" s="17" t="s">
        <v>188</v>
      </c>
    </row>
    <row r="79" customFormat="false" ht="15" hidden="false" customHeight="false" outlineLevel="0" collapsed="false">
      <c r="A79" s="4" t="s">
        <v>199</v>
      </c>
      <c r="B79" s="23" t="n">
        <v>0.05</v>
      </c>
      <c r="C79" s="17" t="s">
        <v>109</v>
      </c>
      <c r="D79" s="17" t="s">
        <v>200</v>
      </c>
      <c r="E79" s="17" t="s">
        <v>188</v>
      </c>
    </row>
    <row r="80" customFormat="false" ht="15" hidden="false" customHeight="false" outlineLevel="0" collapsed="false">
      <c r="A80" s="4" t="s">
        <v>201</v>
      </c>
      <c r="B80" s="18" t="n">
        <v>75</v>
      </c>
      <c r="C80" s="17" t="s">
        <v>69</v>
      </c>
      <c r="D80" s="17" t="s">
        <v>202</v>
      </c>
      <c r="E80" s="17" t="s">
        <v>188</v>
      </c>
    </row>
    <row r="81" customFormat="false" ht="15" hidden="false" customHeight="false" outlineLevel="0" collapsed="false">
      <c r="A81" s="4" t="s">
        <v>203</v>
      </c>
      <c r="B81" s="23" t="n">
        <v>0.1</v>
      </c>
      <c r="C81" s="17" t="s">
        <v>109</v>
      </c>
      <c r="D81" s="17" t="s">
        <v>204</v>
      </c>
      <c r="E81" s="17" t="s">
        <v>188</v>
      </c>
    </row>
    <row r="82" customFormat="false" ht="15" hidden="false" customHeight="false" outlineLevel="0" collapsed="false">
      <c r="A82" s="4" t="s">
        <v>205</v>
      </c>
      <c r="B82" s="19" t="n">
        <v>0.556</v>
      </c>
      <c r="C82" s="17" t="s">
        <v>206</v>
      </c>
      <c r="D82" s="17" t="s">
        <v>207</v>
      </c>
      <c r="E82" s="17" t="s">
        <v>208</v>
      </c>
    </row>
    <row r="83" customFormat="false" ht="15" hidden="false" customHeight="false" outlineLevel="0" collapsed="false">
      <c r="A83" s="4" t="s">
        <v>209</v>
      </c>
      <c r="B83" s="19" t="n">
        <v>0.694</v>
      </c>
      <c r="C83" s="17" t="s">
        <v>206</v>
      </c>
      <c r="D83" s="17" t="s">
        <v>207</v>
      </c>
      <c r="E83" s="17" t="s">
        <v>208</v>
      </c>
    </row>
    <row r="84" customFormat="false" ht="15" hidden="false" customHeight="false" outlineLevel="0" collapsed="false">
      <c r="A84" s="4" t="s">
        <v>210</v>
      </c>
      <c r="B84" s="19" t="n">
        <v>0.722</v>
      </c>
      <c r="C84" s="17" t="s">
        <v>206</v>
      </c>
      <c r="D84" s="17" t="s">
        <v>207</v>
      </c>
      <c r="E84" s="17" t="s">
        <v>208</v>
      </c>
    </row>
    <row r="85" customFormat="false" ht="15" hidden="false" customHeight="false" outlineLevel="0" collapsed="false">
      <c r="A85" s="4" t="s">
        <v>211</v>
      </c>
      <c r="B85" s="19" t="n">
        <v>0.875</v>
      </c>
      <c r="C85" s="17" t="s">
        <v>206</v>
      </c>
      <c r="D85" s="17" t="s">
        <v>207</v>
      </c>
      <c r="E85" s="17" t="s">
        <v>208</v>
      </c>
    </row>
    <row r="86" customFormat="false" ht="15" hidden="false" customHeight="false" outlineLevel="0" collapsed="false">
      <c r="A86" s="4" t="s">
        <v>212</v>
      </c>
      <c r="B86" s="19" t="n">
        <v>0.375</v>
      </c>
      <c r="C86" s="17" t="s">
        <v>206</v>
      </c>
      <c r="D86" s="17" t="s">
        <v>207</v>
      </c>
      <c r="E86" s="17" t="s">
        <v>208</v>
      </c>
    </row>
    <row r="87" customFormat="false" ht="15" hidden="false" customHeight="false" outlineLevel="0" collapsed="false">
      <c r="A87" s="4" t="s">
        <v>213</v>
      </c>
      <c r="B87" s="19" t="n">
        <v>0.5</v>
      </c>
      <c r="C87" s="17" t="s">
        <v>206</v>
      </c>
      <c r="D87" s="17" t="s">
        <v>207</v>
      </c>
      <c r="E87" s="17" t="s">
        <v>208</v>
      </c>
    </row>
    <row r="88" customFormat="false" ht="15" hidden="false" customHeight="false" outlineLevel="0" collapsed="false">
      <c r="A88" s="4" t="s">
        <v>214</v>
      </c>
      <c r="B88" s="19" t="n">
        <v>0.625</v>
      </c>
      <c r="C88" s="17" t="s">
        <v>206</v>
      </c>
      <c r="D88" s="17" t="s">
        <v>207</v>
      </c>
      <c r="E88" s="17" t="s">
        <v>208</v>
      </c>
    </row>
    <row r="89" customFormat="false" ht="15" hidden="false" customHeight="false" outlineLevel="0" collapsed="false">
      <c r="A89" s="4" t="s">
        <v>215</v>
      </c>
      <c r="B89" s="19" t="n">
        <v>0.75</v>
      </c>
      <c r="C89" s="17" t="s">
        <v>206</v>
      </c>
      <c r="D89" s="17" t="s">
        <v>207</v>
      </c>
      <c r="E89" s="17" t="s">
        <v>208</v>
      </c>
    </row>
    <row r="90" customFormat="false" ht="15" hidden="false" customHeight="false" outlineLevel="0" collapsed="false">
      <c r="A90" s="4" t="s">
        <v>216</v>
      </c>
      <c r="B90" s="19" t="n">
        <v>0.5</v>
      </c>
      <c r="C90" s="17" t="s">
        <v>206</v>
      </c>
      <c r="D90" s="17" t="s">
        <v>207</v>
      </c>
      <c r="E90" s="17" t="s">
        <v>208</v>
      </c>
    </row>
    <row r="91" customFormat="false" ht="15" hidden="false" customHeight="false" outlineLevel="0" collapsed="false">
      <c r="A91" s="4" t="s">
        <v>217</v>
      </c>
      <c r="B91" s="19" t="n">
        <v>0.692</v>
      </c>
      <c r="C91" s="17" t="s">
        <v>206</v>
      </c>
      <c r="D91" s="17" t="s">
        <v>207</v>
      </c>
      <c r="E91" s="17" t="s">
        <v>208</v>
      </c>
    </row>
    <row r="92" customFormat="false" ht="15" hidden="false" customHeight="false" outlineLevel="0" collapsed="false">
      <c r="A92" s="4" t="s">
        <v>218</v>
      </c>
      <c r="B92" s="19" t="n">
        <v>0.769</v>
      </c>
      <c r="C92" s="17" t="s">
        <v>206</v>
      </c>
      <c r="D92" s="17" t="s">
        <v>207</v>
      </c>
      <c r="E92" s="17" t="s">
        <v>208</v>
      </c>
    </row>
    <row r="93" customFormat="false" ht="15" hidden="false" customHeight="false" outlineLevel="0" collapsed="false">
      <c r="A93" s="4" t="s">
        <v>219</v>
      </c>
      <c r="B93" s="19" t="n">
        <v>0.885</v>
      </c>
      <c r="C93" s="17" t="s">
        <v>206</v>
      </c>
      <c r="D93" s="17" t="s">
        <v>207</v>
      </c>
      <c r="E93" s="17" t="s">
        <v>208</v>
      </c>
    </row>
    <row r="94" customFormat="false" ht="15" hidden="false" customHeight="false" outlineLevel="0" collapsed="false">
      <c r="A94" s="4" t="s">
        <v>220</v>
      </c>
      <c r="B94" s="19" t="n">
        <v>0.377</v>
      </c>
      <c r="C94" s="17" t="s">
        <v>206</v>
      </c>
      <c r="D94" s="17" t="s">
        <v>207</v>
      </c>
      <c r="E94" s="17" t="s">
        <v>208</v>
      </c>
    </row>
    <row r="95" customFormat="false" ht="15" hidden="false" customHeight="false" outlineLevel="0" collapsed="false">
      <c r="A95" s="4" t="s">
        <v>221</v>
      </c>
      <c r="B95" s="19" t="n">
        <v>0.566</v>
      </c>
      <c r="C95" s="17" t="s">
        <v>206</v>
      </c>
      <c r="D95" s="17" t="s">
        <v>207</v>
      </c>
      <c r="E95" s="17" t="s">
        <v>208</v>
      </c>
    </row>
    <row r="96" customFormat="false" ht="15" hidden="false" customHeight="false" outlineLevel="0" collapsed="false">
      <c r="A96" s="4" t="s">
        <v>222</v>
      </c>
      <c r="B96" s="19" t="n">
        <v>0.755</v>
      </c>
      <c r="C96" s="17" t="s">
        <v>206</v>
      </c>
      <c r="D96" s="17" t="s">
        <v>207</v>
      </c>
      <c r="E96" s="17" t="s">
        <v>208</v>
      </c>
    </row>
    <row r="97" customFormat="false" ht="15" hidden="false" customHeight="false" outlineLevel="0" collapsed="false">
      <c r="A97" s="4" t="s">
        <v>223</v>
      </c>
      <c r="B97" s="19" t="n">
        <v>0.887</v>
      </c>
      <c r="C97" s="17" t="s">
        <v>206</v>
      </c>
      <c r="D97" s="17" t="s">
        <v>207</v>
      </c>
      <c r="E97" s="17" t="s">
        <v>208</v>
      </c>
    </row>
    <row r="98" customFormat="false" ht="15" hidden="false" customHeight="false" outlineLevel="0" collapsed="false">
      <c r="A98" s="4" t="s">
        <v>224</v>
      </c>
      <c r="B98" s="19" t="n">
        <v>0.545</v>
      </c>
      <c r="C98" s="17" t="s">
        <v>206</v>
      </c>
      <c r="D98" s="17" t="s">
        <v>207</v>
      </c>
      <c r="E98" s="17" t="s">
        <v>208</v>
      </c>
    </row>
    <row r="99" customFormat="false" ht="15" hidden="false" customHeight="false" outlineLevel="0" collapsed="false">
      <c r="A99" s="4" t="s">
        <v>225</v>
      </c>
      <c r="B99" s="19" t="n">
        <v>0.727</v>
      </c>
      <c r="C99" s="17" t="s">
        <v>206</v>
      </c>
      <c r="D99" s="17" t="s">
        <v>207</v>
      </c>
      <c r="E99" s="17" t="s">
        <v>208</v>
      </c>
    </row>
    <row r="100" customFormat="false" ht="15" hidden="false" customHeight="false" outlineLevel="0" collapsed="false">
      <c r="A100" s="4" t="s">
        <v>226</v>
      </c>
      <c r="B100" s="19" t="n">
        <v>0.818</v>
      </c>
      <c r="C100" s="17" t="s">
        <v>206</v>
      </c>
      <c r="D100" s="17" t="s">
        <v>207</v>
      </c>
      <c r="E100" s="17" t="s">
        <v>208</v>
      </c>
    </row>
    <row r="101" customFormat="false" ht="15" hidden="false" customHeight="false" outlineLevel="0" collapsed="false">
      <c r="A101" s="4" t="s">
        <v>227</v>
      </c>
      <c r="B101" s="19" t="n">
        <v>0.909</v>
      </c>
      <c r="C101" s="17" t="s">
        <v>206</v>
      </c>
      <c r="D101" s="17" t="s">
        <v>207</v>
      </c>
      <c r="E101" s="17" t="s">
        <v>208</v>
      </c>
    </row>
    <row r="102" customFormat="false" ht="15" hidden="false" customHeight="false" outlineLevel="0" collapsed="false">
      <c r="A102" s="15" t="s">
        <v>228</v>
      </c>
      <c r="B102" s="15"/>
      <c r="C102" s="15"/>
      <c r="D102" s="15"/>
      <c r="E102" s="15"/>
    </row>
    <row r="103" customFormat="false" ht="15" hidden="false" customHeight="false" outlineLevel="0" collapsed="false">
      <c r="A103" s="4" t="s">
        <v>229</v>
      </c>
      <c r="B103" s="27" t="n">
        <v>5</v>
      </c>
      <c r="C103" s="17" t="s">
        <v>230</v>
      </c>
      <c r="D103" s="17" t="s">
        <v>231</v>
      </c>
      <c r="E103" s="17" t="s">
        <v>232</v>
      </c>
    </row>
    <row r="104" customFormat="false" ht="15" hidden="false" customHeight="false" outlineLevel="0" collapsed="false">
      <c r="A104" s="4" t="s">
        <v>233</v>
      </c>
      <c r="B104" s="27" t="n">
        <v>27.5</v>
      </c>
      <c r="C104" s="17" t="s">
        <v>230</v>
      </c>
      <c r="D104" s="17" t="s">
        <v>234</v>
      </c>
      <c r="E104" s="17" t="s">
        <v>232</v>
      </c>
    </row>
    <row r="105" customFormat="false" ht="15" hidden="false" customHeight="false" outlineLevel="0" collapsed="false">
      <c r="A105" s="4" t="s">
        <v>235</v>
      </c>
      <c r="B105" s="27" t="n">
        <v>45</v>
      </c>
      <c r="C105" s="17" t="s">
        <v>69</v>
      </c>
      <c r="D105" s="17" t="s">
        <v>236</v>
      </c>
      <c r="E105" s="17" t="s">
        <v>232</v>
      </c>
    </row>
    <row r="106" customFormat="false" ht="15" hidden="false" customHeight="false" outlineLevel="0" collapsed="false">
      <c r="A106" s="4" t="s">
        <v>237</v>
      </c>
      <c r="B106" s="27" t="n">
        <v>17.5</v>
      </c>
      <c r="C106" s="17" t="s">
        <v>69</v>
      </c>
      <c r="D106" s="17" t="s">
        <v>238</v>
      </c>
      <c r="E106" s="17" t="s">
        <v>232</v>
      </c>
    </row>
    <row r="107" customFormat="false" ht="15" hidden="false" customHeight="false" outlineLevel="0" collapsed="false">
      <c r="A107" s="15" t="s">
        <v>239</v>
      </c>
      <c r="B107" s="15"/>
      <c r="C107" s="15"/>
      <c r="D107" s="15"/>
      <c r="E107" s="15"/>
    </row>
    <row r="108" customFormat="false" ht="15" hidden="false" customHeight="false" outlineLevel="0" collapsed="false">
      <c r="A108" s="4" t="s">
        <v>240</v>
      </c>
      <c r="B108" s="25" t="n">
        <v>75000</v>
      </c>
      <c r="C108" s="17" t="s">
        <v>241</v>
      </c>
      <c r="D108" s="17" t="s">
        <v>242</v>
      </c>
      <c r="E108" s="17" t="s">
        <v>243</v>
      </c>
    </row>
    <row r="109" customFormat="false" ht="15" hidden="false" customHeight="false" outlineLevel="0" collapsed="false">
      <c r="A109" s="4" t="s">
        <v>244</v>
      </c>
      <c r="B109" s="23" t="n">
        <v>0.4</v>
      </c>
      <c r="C109" s="17" t="s">
        <v>245</v>
      </c>
      <c r="D109" s="17" t="s">
        <v>246</v>
      </c>
      <c r="E109" s="17" t="s">
        <v>243</v>
      </c>
    </row>
    <row r="110" customFormat="false" ht="15" hidden="false" customHeight="false" outlineLevel="0" collapsed="false">
      <c r="A110" s="4" t="s">
        <v>247</v>
      </c>
      <c r="B110" s="22" t="n">
        <v>-0.3307</v>
      </c>
      <c r="C110" s="17" t="s">
        <v>245</v>
      </c>
      <c r="D110" s="17" t="s">
        <v>248</v>
      </c>
      <c r="E110" s="17" t="s">
        <v>243</v>
      </c>
    </row>
    <row r="111" customFormat="false" ht="15" hidden="false" customHeight="false" outlineLevel="0" collapsed="false">
      <c r="A111" s="4" t="s">
        <v>249</v>
      </c>
      <c r="B111" s="16" t="n">
        <v>66</v>
      </c>
      <c r="C111" s="17" t="s">
        <v>250</v>
      </c>
      <c r="D111" s="17" t="s">
        <v>251</v>
      </c>
      <c r="E111" s="17" t="s">
        <v>252</v>
      </c>
    </row>
    <row r="112" customFormat="false" ht="15" hidden="false" customHeight="false" outlineLevel="0" collapsed="false">
      <c r="A112" s="4" t="s">
        <v>253</v>
      </c>
      <c r="B112" s="25" t="n">
        <v>72000</v>
      </c>
      <c r="C112" s="17" t="s">
        <v>254</v>
      </c>
      <c r="D112" s="17" t="s">
        <v>255</v>
      </c>
      <c r="E112" s="17" t="s">
        <v>252</v>
      </c>
    </row>
    <row r="113" customFormat="false" ht="15" hidden="false" customHeight="false" outlineLevel="0" collapsed="false">
      <c r="A113" s="4" t="s">
        <v>256</v>
      </c>
      <c r="B113" s="18" t="n">
        <v>76500</v>
      </c>
      <c r="C113" s="17" t="s">
        <v>69</v>
      </c>
      <c r="D113" s="17" t="s">
        <v>257</v>
      </c>
      <c r="E113" s="17" t="s">
        <v>252</v>
      </c>
    </row>
  </sheetData>
  <mergeCells count="13">
    <mergeCell ref="A1:K1"/>
    <mergeCell ref="A2:K2"/>
    <mergeCell ref="A3:K3"/>
    <mergeCell ref="A5:E5"/>
    <mergeCell ref="A11:E11"/>
    <mergeCell ref="A21:E21"/>
    <mergeCell ref="A27:E27"/>
    <mergeCell ref="A32:E32"/>
    <mergeCell ref="A40:E40"/>
    <mergeCell ref="A46:E46"/>
    <mergeCell ref="A72:E72"/>
    <mergeCell ref="A102:E102"/>
    <mergeCell ref="A107:E107"/>
  </mergeCells>
  <hyperlinks>
    <hyperlink ref="A3" r:id="rId2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259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4" t="s">
        <v>270</v>
      </c>
      <c r="B6" s="4" t="str">
        <f aca="false">CHOOSE(assm_scenario,"Conservateur 70%","Base 100% (CEO)","Optimiste 130%")</f>
        <v>Base 100% (CEO)</v>
      </c>
    </row>
    <row r="7" customFormat="false" ht="15" hidden="false" customHeight="false" outlineLevel="0" collapsed="false">
      <c r="A7" s="4" t="s">
        <v>271</v>
      </c>
      <c r="B7" s="28" t="n">
        <f aca="false">1</f>
        <v>1</v>
      </c>
      <c r="C7" s="28" t="n">
        <f aca="false">CHOOSE(assm_scenario,'02_Hypotheses'!$B$13,1,'02_Hypotheses'!$B$17)</f>
        <v>1</v>
      </c>
      <c r="D7" s="28" t="n">
        <f aca="false">CHOOSE(assm_scenario,'02_Hypotheses'!$B$14,1,'02_Hypotheses'!$B$18)</f>
        <v>1</v>
      </c>
      <c r="E7" s="28" t="n">
        <f aca="false">CHOOSE(assm_scenario,'02_Hypotheses'!$B$15,1,'02_Hypotheses'!$B$19)</f>
        <v>1</v>
      </c>
      <c r="F7" s="28" t="n">
        <f aca="false">CHOOSE(assm_scenario,'02_Hypotheses'!$B$16,1,'02_Hypotheses'!$B$20)</f>
        <v>1</v>
      </c>
      <c r="G7" s="28" t="n">
        <f aca="false">0</f>
        <v>0</v>
      </c>
      <c r="H7" s="28" t="n">
        <f aca="false">0</f>
        <v>0</v>
      </c>
      <c r="I7" s="28" t="n">
        <f aca="false">0</f>
        <v>0</v>
      </c>
      <c r="J7" s="28" t="n">
        <f aca="false">0</f>
        <v>0</v>
      </c>
    </row>
    <row r="8" customFormat="false" ht="15" hidden="false" customHeight="false" outlineLevel="0" collapsed="false">
      <c r="A8" s="4" t="s">
        <v>272</v>
      </c>
      <c r="B8" s="28" t="n">
        <f aca="false">0</f>
        <v>0</v>
      </c>
      <c r="C8" s="28" t="n">
        <f aca="false">0</f>
        <v>0</v>
      </c>
      <c r="D8" s="28" t="n">
        <f aca="false">0</f>
        <v>0</v>
      </c>
      <c r="E8" s="28" t="n">
        <f aca="false">1</f>
        <v>1</v>
      </c>
      <c r="F8" s="28" t="n">
        <f aca="false">CHOOSE(assm_scenario,'02_Hypotheses'!$B$13,1,'02_Hypotheses'!$B$17)</f>
        <v>1</v>
      </c>
      <c r="G8" s="28" t="n">
        <f aca="false">CHOOSE(assm_scenario,'02_Hypotheses'!$B$14,1,'02_Hypotheses'!$B$18)</f>
        <v>1</v>
      </c>
      <c r="H8" s="28" t="n">
        <f aca="false">CHOOSE(assm_scenario,'02_Hypotheses'!$B$15,1,'02_Hypotheses'!$B$19)</f>
        <v>1</v>
      </c>
      <c r="I8" s="28" t="n">
        <f aca="false">CHOOSE(assm_scenario,'02_Hypotheses'!$B$16,1,'02_Hypotheses'!$B$20)</f>
        <v>1</v>
      </c>
      <c r="J8" s="28" t="n">
        <f aca="false">0</f>
        <v>0</v>
      </c>
    </row>
    <row r="9" customFormat="false" ht="15" hidden="false" customHeight="false" outlineLevel="0" collapsed="false">
      <c r="A9" s="4" t="s">
        <v>273</v>
      </c>
      <c r="B9" s="28" t="n">
        <f aca="false">0</f>
        <v>0</v>
      </c>
      <c r="C9" s="28" t="n">
        <f aca="false">0</f>
        <v>0</v>
      </c>
      <c r="D9" s="28" t="n">
        <f aca="false">0</f>
        <v>0</v>
      </c>
      <c r="E9" s="28" t="n">
        <f aca="false">0</f>
        <v>0</v>
      </c>
      <c r="F9" s="28" t="n">
        <f aca="false">0</f>
        <v>0</v>
      </c>
      <c r="G9" s="28" t="n">
        <f aca="false">0</f>
        <v>0</v>
      </c>
      <c r="H9" s="28" t="n">
        <f aca="false">1</f>
        <v>1</v>
      </c>
      <c r="I9" s="28" t="n">
        <f aca="false">CHOOSE(assm_scenario,'02_Hypotheses'!$B$13,1,'02_Hypotheses'!$B$17)</f>
        <v>1</v>
      </c>
      <c r="J9" s="28" t="n">
        <f aca="false">CHOOSE(assm_scenario,'02_Hypotheses'!$B$14,1,'02_Hypotheses'!$B$18)</f>
        <v>1</v>
      </c>
    </row>
    <row r="10" customFormat="false" ht="15" hidden="false" customHeight="false" outlineLevel="0" collapsed="false">
      <c r="A10" s="17" t="s">
        <v>274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A75"/>
    <pageSetUpPr fitToPage="false"/>
  </sheetPr>
  <dimension ref="A1:K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276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7" t="s">
        <v>277</v>
      </c>
    </row>
    <row r="7" customFormat="false" ht="15" hidden="false" customHeight="false" outlineLevel="0" collapsed="false">
      <c r="A7" s="4" t="s">
        <v>278</v>
      </c>
      <c r="B7" s="29" t="n">
        <f aca="false">'02_Hypotheses'!$B$47*'03_Scenario_Cycles'!$B$7</f>
        <v>0</v>
      </c>
      <c r="C7" s="29" t="n">
        <f aca="false">'02_Hypotheses'!$B$48*'03_Scenario_Cycles'!$C$7</f>
        <v>150</v>
      </c>
      <c r="D7" s="29" t="n">
        <f aca="false">'02_Hypotheses'!$B$49*'03_Scenario_Cycles'!$D$7</f>
        <v>350</v>
      </c>
      <c r="E7" s="29" t="n">
        <f aca="false">'02_Hypotheses'!$B$50*'03_Scenario_Cycles'!$E$7</f>
        <v>600</v>
      </c>
      <c r="F7" s="29" t="n">
        <f aca="false">'02_Hypotheses'!$B$51*'03_Scenario_Cycles'!$F$7</f>
        <v>0</v>
      </c>
      <c r="G7" s="29" t="n">
        <f aca="false">0</f>
        <v>0</v>
      </c>
      <c r="H7" s="29" t="n">
        <f aca="false">0</f>
        <v>0</v>
      </c>
      <c r="I7" s="29" t="n">
        <f aca="false">0</f>
        <v>0</v>
      </c>
      <c r="J7" s="29" t="n">
        <f aca="false">0</f>
        <v>0</v>
      </c>
    </row>
    <row r="8" customFormat="false" ht="15" hidden="false" customHeight="false" outlineLevel="0" collapsed="false">
      <c r="A8" s="4" t="s">
        <v>279</v>
      </c>
      <c r="B8" s="29" t="n">
        <f aca="false">'02_Hypotheses'!$B$52*'03_Scenario_Cycles'!$B$7</f>
        <v>0</v>
      </c>
      <c r="C8" s="29" t="n">
        <f aca="false">'02_Hypotheses'!$B$53*'03_Scenario_Cycles'!$C$7</f>
        <v>100</v>
      </c>
      <c r="D8" s="29" t="n">
        <f aca="false">'02_Hypotheses'!$B$54*'03_Scenario_Cycles'!$D$7</f>
        <v>250</v>
      </c>
      <c r="E8" s="29" t="n">
        <f aca="false">'02_Hypotheses'!$B$55*'03_Scenario_Cycles'!$E$7</f>
        <v>450</v>
      </c>
      <c r="F8" s="29" t="n">
        <f aca="false">'02_Hypotheses'!$B$56*'03_Scenario_Cycles'!$F$7</f>
        <v>2750</v>
      </c>
      <c r="G8" s="29" t="n">
        <f aca="false">0</f>
        <v>0</v>
      </c>
      <c r="H8" s="29" t="n">
        <f aca="false">0</f>
        <v>0</v>
      </c>
      <c r="I8" s="29" t="n">
        <f aca="false">0</f>
        <v>0</v>
      </c>
      <c r="J8" s="29" t="n">
        <f aca="false">0</f>
        <v>0</v>
      </c>
    </row>
    <row r="9" customFormat="false" ht="15" hidden="false" customHeight="false" outlineLevel="0" collapsed="false">
      <c r="A9" s="4" t="s">
        <v>280</v>
      </c>
      <c r="B9" s="29" t="n">
        <f aca="false">'02_Hypotheses'!$B$57*'03_Scenario_Cycles'!$B$7</f>
        <v>0</v>
      </c>
      <c r="C9" s="29" t="n">
        <f aca="false">'02_Hypotheses'!$B$58*'03_Scenario_Cycles'!$C$7</f>
        <v>75</v>
      </c>
      <c r="D9" s="29" t="n">
        <f aca="false">'02_Hypotheses'!$B$59*'03_Scenario_Cycles'!$D$7</f>
        <v>225</v>
      </c>
      <c r="E9" s="29" t="n">
        <f aca="false">'02_Hypotheses'!$B$60*'03_Scenario_Cycles'!$E$7</f>
        <v>450</v>
      </c>
      <c r="F9" s="29" t="n">
        <f aca="false">'02_Hypotheses'!$B$61*'03_Scenario_Cycles'!$F$7</f>
        <v>0</v>
      </c>
      <c r="G9" s="29" t="n">
        <f aca="false">0</f>
        <v>0</v>
      </c>
      <c r="H9" s="29" t="n">
        <f aca="false">0</f>
        <v>0</v>
      </c>
      <c r="I9" s="29" t="n">
        <f aca="false">0</f>
        <v>0</v>
      </c>
      <c r="J9" s="29" t="n">
        <f aca="false">0</f>
        <v>0</v>
      </c>
    </row>
    <row r="10" customFormat="false" ht="15" hidden="false" customHeight="false" outlineLevel="0" collapsed="false">
      <c r="A10" s="4" t="s">
        <v>281</v>
      </c>
      <c r="B10" s="29" t="n">
        <f aca="false">'02_Hypotheses'!$B$62*'03_Scenario_Cycles'!$B$7</f>
        <v>0</v>
      </c>
      <c r="C10" s="29" t="n">
        <f aca="false">'02_Hypotheses'!$B$63*'03_Scenario_Cycles'!$C$7</f>
        <v>0</v>
      </c>
      <c r="D10" s="29" t="n">
        <f aca="false">'02_Hypotheses'!$B$64*'03_Scenario_Cycles'!$D$7</f>
        <v>1000</v>
      </c>
      <c r="E10" s="29" t="n">
        <f aca="false">'02_Hypotheses'!$B$65*'03_Scenario_Cycles'!$E$7</f>
        <v>1500</v>
      </c>
      <c r="F10" s="29" t="n">
        <f aca="false">'02_Hypotheses'!$B$66*'03_Scenario_Cycles'!$F$7</f>
        <v>2200</v>
      </c>
      <c r="G10" s="29" t="n">
        <f aca="false">0</f>
        <v>0</v>
      </c>
      <c r="H10" s="29" t="n">
        <f aca="false">0</f>
        <v>0</v>
      </c>
      <c r="I10" s="29" t="n">
        <f aca="false">0</f>
        <v>0</v>
      </c>
      <c r="J10" s="29" t="n">
        <f aca="false">0</f>
        <v>0</v>
      </c>
    </row>
    <row r="11" customFormat="false" ht="15" hidden="false" customHeight="false" outlineLevel="0" collapsed="false">
      <c r="A11" s="4" t="s">
        <v>282</v>
      </c>
      <c r="B11" s="29" t="n">
        <f aca="false">IF(assm_streamE_on=1,'02_Hypotheses'!$B$67*'03_Scenario_Cycles'!$B$7,0)</f>
        <v>0</v>
      </c>
      <c r="C11" s="29" t="n">
        <f aca="false">IF(assm_streamE_on=1,'02_Hypotheses'!$B$68*'03_Scenario_Cycles'!$C$7,0)</f>
        <v>0</v>
      </c>
      <c r="D11" s="29" t="n">
        <f aca="false">IF(assm_streamE_on=1,'02_Hypotheses'!$B$69*'03_Scenario_Cycles'!$D$7,0)</f>
        <v>0</v>
      </c>
      <c r="E11" s="29" t="n">
        <f aca="false">IF(assm_streamE_on=1,'02_Hypotheses'!$B$70*'03_Scenario_Cycles'!$E$7,0)</f>
        <v>0</v>
      </c>
      <c r="F11" s="29" t="n">
        <f aca="false">IF(assm_streamE_on=1,'02_Hypotheses'!$B$71*'03_Scenario_Cycles'!$F$7,0)</f>
        <v>0</v>
      </c>
      <c r="G11" s="29" t="n">
        <f aca="false">0</f>
        <v>0</v>
      </c>
      <c r="H11" s="29" t="n">
        <f aca="false">0</f>
        <v>0</v>
      </c>
      <c r="I11" s="29" t="n">
        <f aca="false">0</f>
        <v>0</v>
      </c>
      <c r="J11" s="29" t="n">
        <f aca="false">0</f>
        <v>0</v>
      </c>
    </row>
    <row r="12" customFormat="false" ht="15" hidden="false" customHeight="false" outlineLevel="0" collapsed="false">
      <c r="A12" s="30" t="s">
        <v>283</v>
      </c>
      <c r="B12" s="31" t="n">
        <f aca="false">SUM(B7:B11)</f>
        <v>0</v>
      </c>
      <c r="C12" s="31" t="n">
        <f aca="false">SUM(C7:C11)</f>
        <v>325</v>
      </c>
      <c r="D12" s="31" t="n">
        <f aca="false">SUM(D7:D11)</f>
        <v>1825</v>
      </c>
      <c r="E12" s="31" t="n">
        <f aca="false">SUM(E7:E11)</f>
        <v>3000</v>
      </c>
      <c r="F12" s="31" t="n">
        <f aca="false">SUM(F7:F11)</f>
        <v>4950</v>
      </c>
      <c r="G12" s="31" t="n">
        <f aca="false">SUM(G7:G11)</f>
        <v>0</v>
      </c>
      <c r="H12" s="31" t="n">
        <f aca="false">SUM(H7:H11)</f>
        <v>0</v>
      </c>
      <c r="I12" s="31" t="n">
        <f aca="false">SUM(I7:I11)</f>
        <v>0</v>
      </c>
      <c r="J12" s="31" t="n">
        <f aca="false">SUM(J7:J11)</f>
        <v>0</v>
      </c>
    </row>
    <row r="14" customFormat="false" ht="15" hidden="false" customHeight="false" outlineLevel="0" collapsed="false">
      <c r="A14" s="7" t="s">
        <v>284</v>
      </c>
    </row>
    <row r="15" customFormat="false" ht="15" hidden="false" customHeight="false" outlineLevel="0" collapsed="false">
      <c r="A15" s="4" t="s">
        <v>278</v>
      </c>
      <c r="B15" s="29" t="n">
        <f aca="false">0</f>
        <v>0</v>
      </c>
      <c r="C15" s="29" t="n">
        <f aca="false">0</f>
        <v>0</v>
      </c>
      <c r="D15" s="29" t="n">
        <f aca="false">0</f>
        <v>0</v>
      </c>
      <c r="E15" s="29" t="n">
        <f aca="false">'02_Hypotheses'!$B$47*'03_Scenario_Cycles'!$E$8</f>
        <v>0</v>
      </c>
      <c r="F15" s="29" t="n">
        <f aca="false">'02_Hypotheses'!$B$48*'03_Scenario_Cycles'!$F$8</f>
        <v>150</v>
      </c>
      <c r="G15" s="29" t="n">
        <f aca="false">'02_Hypotheses'!$B$49*'03_Scenario_Cycles'!$G$8</f>
        <v>350</v>
      </c>
      <c r="H15" s="29" t="n">
        <f aca="false">'02_Hypotheses'!$B$50*'03_Scenario_Cycles'!$H$8</f>
        <v>600</v>
      </c>
      <c r="I15" s="29" t="n">
        <f aca="false">'02_Hypotheses'!$B$51*'03_Scenario_Cycles'!$I$8</f>
        <v>0</v>
      </c>
      <c r="J15" s="29" t="n">
        <f aca="false">0</f>
        <v>0</v>
      </c>
    </row>
    <row r="16" customFormat="false" ht="15" hidden="false" customHeight="false" outlineLevel="0" collapsed="false">
      <c r="A16" s="4" t="s">
        <v>279</v>
      </c>
      <c r="B16" s="29" t="n">
        <f aca="false">0</f>
        <v>0</v>
      </c>
      <c r="C16" s="29" t="n">
        <f aca="false">0</f>
        <v>0</v>
      </c>
      <c r="D16" s="29" t="n">
        <f aca="false">0</f>
        <v>0</v>
      </c>
      <c r="E16" s="29" t="n">
        <f aca="false">'02_Hypotheses'!$B$52*'03_Scenario_Cycles'!$E$8</f>
        <v>0</v>
      </c>
      <c r="F16" s="29" t="n">
        <f aca="false">'02_Hypotheses'!$B$53*'03_Scenario_Cycles'!$F$8</f>
        <v>100</v>
      </c>
      <c r="G16" s="29" t="n">
        <f aca="false">'02_Hypotheses'!$B$54*'03_Scenario_Cycles'!$G$8</f>
        <v>250</v>
      </c>
      <c r="H16" s="29" t="n">
        <f aca="false">'02_Hypotheses'!$B$55*'03_Scenario_Cycles'!$H$8</f>
        <v>450</v>
      </c>
      <c r="I16" s="29" t="n">
        <f aca="false">'02_Hypotheses'!$B$56*'03_Scenario_Cycles'!$I$8</f>
        <v>2750</v>
      </c>
      <c r="J16" s="29" t="n">
        <f aca="false">0</f>
        <v>0</v>
      </c>
    </row>
    <row r="17" customFormat="false" ht="15" hidden="false" customHeight="false" outlineLevel="0" collapsed="false">
      <c r="A17" s="4" t="s">
        <v>280</v>
      </c>
      <c r="B17" s="29" t="n">
        <f aca="false">0</f>
        <v>0</v>
      </c>
      <c r="C17" s="29" t="n">
        <f aca="false">0</f>
        <v>0</v>
      </c>
      <c r="D17" s="29" t="n">
        <f aca="false">0</f>
        <v>0</v>
      </c>
      <c r="E17" s="29" t="n">
        <f aca="false">'02_Hypotheses'!$B$57*'03_Scenario_Cycles'!$E$8</f>
        <v>0</v>
      </c>
      <c r="F17" s="29" t="n">
        <f aca="false">'02_Hypotheses'!$B$58*'03_Scenario_Cycles'!$F$8</f>
        <v>75</v>
      </c>
      <c r="G17" s="29" t="n">
        <f aca="false">'02_Hypotheses'!$B$59*'03_Scenario_Cycles'!$G$8</f>
        <v>225</v>
      </c>
      <c r="H17" s="29" t="n">
        <f aca="false">'02_Hypotheses'!$B$60*'03_Scenario_Cycles'!$H$8</f>
        <v>450</v>
      </c>
      <c r="I17" s="29" t="n">
        <f aca="false">'02_Hypotheses'!$B$61*'03_Scenario_Cycles'!$I$8</f>
        <v>0</v>
      </c>
      <c r="J17" s="29" t="n">
        <f aca="false">0</f>
        <v>0</v>
      </c>
    </row>
    <row r="18" customFormat="false" ht="15" hidden="false" customHeight="false" outlineLevel="0" collapsed="false">
      <c r="A18" s="4" t="s">
        <v>281</v>
      </c>
      <c r="B18" s="29" t="n">
        <f aca="false">0</f>
        <v>0</v>
      </c>
      <c r="C18" s="29" t="n">
        <f aca="false">0</f>
        <v>0</v>
      </c>
      <c r="D18" s="29" t="n">
        <f aca="false">0</f>
        <v>0</v>
      </c>
      <c r="E18" s="29" t="n">
        <f aca="false">'02_Hypotheses'!$B$62*'03_Scenario_Cycles'!$E$8</f>
        <v>0</v>
      </c>
      <c r="F18" s="29" t="n">
        <f aca="false">'02_Hypotheses'!$B$63*'03_Scenario_Cycles'!$F$8</f>
        <v>0</v>
      </c>
      <c r="G18" s="29" t="n">
        <f aca="false">'02_Hypotheses'!$B$64*'03_Scenario_Cycles'!$G$8</f>
        <v>1000</v>
      </c>
      <c r="H18" s="29" t="n">
        <f aca="false">'02_Hypotheses'!$B$65*'03_Scenario_Cycles'!$H$8</f>
        <v>1500</v>
      </c>
      <c r="I18" s="29" t="n">
        <f aca="false">'02_Hypotheses'!$B$66*'03_Scenario_Cycles'!$I$8</f>
        <v>2200</v>
      </c>
      <c r="J18" s="29" t="n">
        <f aca="false">0</f>
        <v>0</v>
      </c>
    </row>
    <row r="19" customFormat="false" ht="15" hidden="false" customHeight="false" outlineLevel="0" collapsed="false">
      <c r="A19" s="4" t="s">
        <v>282</v>
      </c>
      <c r="B19" s="29" t="n">
        <f aca="false">0</f>
        <v>0</v>
      </c>
      <c r="C19" s="29" t="n">
        <f aca="false">0</f>
        <v>0</v>
      </c>
      <c r="D19" s="29" t="n">
        <f aca="false">0</f>
        <v>0</v>
      </c>
      <c r="E19" s="29" t="n">
        <f aca="false">IF(assm_streamE_on=1,'02_Hypotheses'!$B$67*'03_Scenario_Cycles'!$E$8,0)</f>
        <v>0</v>
      </c>
      <c r="F19" s="29" t="n">
        <f aca="false">IF(assm_streamE_on=1,'02_Hypotheses'!$B$68*'03_Scenario_Cycles'!$F$8,0)</f>
        <v>0</v>
      </c>
      <c r="G19" s="29" t="n">
        <f aca="false">IF(assm_streamE_on=1,'02_Hypotheses'!$B$69*'03_Scenario_Cycles'!$G$8,0)</f>
        <v>0</v>
      </c>
      <c r="H19" s="29" t="n">
        <f aca="false">IF(assm_streamE_on=1,'02_Hypotheses'!$B$70*'03_Scenario_Cycles'!$H$8,0)</f>
        <v>0</v>
      </c>
      <c r="I19" s="29" t="n">
        <f aca="false">IF(assm_streamE_on=1,'02_Hypotheses'!$B$71*'03_Scenario_Cycles'!$I$8,0)</f>
        <v>0</v>
      </c>
      <c r="J19" s="29" t="n">
        <f aca="false">0</f>
        <v>0</v>
      </c>
    </row>
    <row r="20" customFormat="false" ht="15" hidden="false" customHeight="false" outlineLevel="0" collapsed="false">
      <c r="A20" s="30" t="s">
        <v>285</v>
      </c>
      <c r="B20" s="31" t="n">
        <f aca="false">SUM(B15:B19)</f>
        <v>0</v>
      </c>
      <c r="C20" s="31" t="n">
        <f aca="false">SUM(C15:C19)</f>
        <v>0</v>
      </c>
      <c r="D20" s="31" t="n">
        <f aca="false">SUM(D15:D19)</f>
        <v>0</v>
      </c>
      <c r="E20" s="31" t="n">
        <f aca="false">SUM(E15:E19)</f>
        <v>0</v>
      </c>
      <c r="F20" s="31" t="n">
        <f aca="false">SUM(F15:F19)</f>
        <v>325</v>
      </c>
      <c r="G20" s="31" t="n">
        <f aca="false">SUM(G15:G19)</f>
        <v>1825</v>
      </c>
      <c r="H20" s="31" t="n">
        <f aca="false">SUM(H15:H19)</f>
        <v>3000</v>
      </c>
      <c r="I20" s="31" t="n">
        <f aca="false">SUM(I15:I19)</f>
        <v>4950</v>
      </c>
      <c r="J20" s="31" t="n">
        <f aca="false">SUM(J15:J19)</f>
        <v>0</v>
      </c>
    </row>
    <row r="22" customFormat="false" ht="15" hidden="false" customHeight="false" outlineLevel="0" collapsed="false">
      <c r="A22" s="7" t="s">
        <v>286</v>
      </c>
    </row>
    <row r="23" customFormat="false" ht="15" hidden="false" customHeight="false" outlineLevel="0" collapsed="false">
      <c r="A23" s="4" t="s">
        <v>278</v>
      </c>
      <c r="B23" s="29" t="n">
        <f aca="false">0</f>
        <v>0</v>
      </c>
      <c r="C23" s="29" t="n">
        <f aca="false">0</f>
        <v>0</v>
      </c>
      <c r="D23" s="29" t="n">
        <f aca="false">0</f>
        <v>0</v>
      </c>
      <c r="E23" s="29" t="n">
        <f aca="false">0</f>
        <v>0</v>
      </c>
      <c r="F23" s="29" t="n">
        <f aca="false">0</f>
        <v>0</v>
      </c>
      <c r="G23" s="29" t="n">
        <f aca="false">0</f>
        <v>0</v>
      </c>
      <c r="H23" s="29" t="n">
        <f aca="false">'02_Hypotheses'!$B$47*'03_Scenario_Cycles'!$H$9</f>
        <v>0</v>
      </c>
      <c r="I23" s="29" t="n">
        <f aca="false">'02_Hypotheses'!$B$48*'03_Scenario_Cycles'!$I$9</f>
        <v>150</v>
      </c>
      <c r="J23" s="29" t="n">
        <f aca="false">'02_Hypotheses'!$B$49*'03_Scenario_Cycles'!$J$9</f>
        <v>350</v>
      </c>
    </row>
    <row r="24" customFormat="false" ht="15" hidden="false" customHeight="false" outlineLevel="0" collapsed="false">
      <c r="A24" s="4" t="s">
        <v>279</v>
      </c>
      <c r="B24" s="29" t="n">
        <f aca="false">0</f>
        <v>0</v>
      </c>
      <c r="C24" s="29" t="n">
        <f aca="false">0</f>
        <v>0</v>
      </c>
      <c r="D24" s="29" t="n">
        <f aca="false">0</f>
        <v>0</v>
      </c>
      <c r="E24" s="29" t="n">
        <f aca="false">0</f>
        <v>0</v>
      </c>
      <c r="F24" s="29" t="n">
        <f aca="false">0</f>
        <v>0</v>
      </c>
      <c r="G24" s="29" t="n">
        <f aca="false">0</f>
        <v>0</v>
      </c>
      <c r="H24" s="29" t="n">
        <f aca="false">'02_Hypotheses'!$B$52*'03_Scenario_Cycles'!$H$9</f>
        <v>0</v>
      </c>
      <c r="I24" s="29" t="n">
        <f aca="false">'02_Hypotheses'!$B$53*'03_Scenario_Cycles'!$I$9</f>
        <v>100</v>
      </c>
      <c r="J24" s="29" t="n">
        <f aca="false">'02_Hypotheses'!$B$54*'03_Scenario_Cycles'!$J$9</f>
        <v>250</v>
      </c>
    </row>
    <row r="25" customFormat="false" ht="15" hidden="false" customHeight="false" outlineLevel="0" collapsed="false">
      <c r="A25" s="4" t="s">
        <v>280</v>
      </c>
      <c r="B25" s="29" t="n">
        <f aca="false">0</f>
        <v>0</v>
      </c>
      <c r="C25" s="29" t="n">
        <f aca="false">0</f>
        <v>0</v>
      </c>
      <c r="D25" s="29" t="n">
        <f aca="false">0</f>
        <v>0</v>
      </c>
      <c r="E25" s="29" t="n">
        <f aca="false">0</f>
        <v>0</v>
      </c>
      <c r="F25" s="29" t="n">
        <f aca="false">0</f>
        <v>0</v>
      </c>
      <c r="G25" s="29" t="n">
        <f aca="false">0</f>
        <v>0</v>
      </c>
      <c r="H25" s="29" t="n">
        <f aca="false">'02_Hypotheses'!$B$57*'03_Scenario_Cycles'!$H$9</f>
        <v>0</v>
      </c>
      <c r="I25" s="29" t="n">
        <f aca="false">'02_Hypotheses'!$B$58*'03_Scenario_Cycles'!$I$9</f>
        <v>75</v>
      </c>
      <c r="J25" s="29" t="n">
        <f aca="false">'02_Hypotheses'!$B$59*'03_Scenario_Cycles'!$J$9</f>
        <v>225</v>
      </c>
    </row>
    <row r="26" customFormat="false" ht="15" hidden="false" customHeight="false" outlineLevel="0" collapsed="false">
      <c r="A26" s="4" t="s">
        <v>281</v>
      </c>
      <c r="B26" s="29" t="n">
        <f aca="false">0</f>
        <v>0</v>
      </c>
      <c r="C26" s="29" t="n">
        <f aca="false">0</f>
        <v>0</v>
      </c>
      <c r="D26" s="29" t="n">
        <f aca="false">0</f>
        <v>0</v>
      </c>
      <c r="E26" s="29" t="n">
        <f aca="false">0</f>
        <v>0</v>
      </c>
      <c r="F26" s="29" t="n">
        <f aca="false">0</f>
        <v>0</v>
      </c>
      <c r="G26" s="29" t="n">
        <f aca="false">0</f>
        <v>0</v>
      </c>
      <c r="H26" s="29" t="n">
        <f aca="false">'02_Hypotheses'!$B$62*'03_Scenario_Cycles'!$H$9</f>
        <v>0</v>
      </c>
      <c r="I26" s="29" t="n">
        <f aca="false">'02_Hypotheses'!$B$63*'03_Scenario_Cycles'!$I$9</f>
        <v>0</v>
      </c>
      <c r="J26" s="29" t="n">
        <f aca="false">'02_Hypotheses'!$B$64*'03_Scenario_Cycles'!$J$9</f>
        <v>1000</v>
      </c>
    </row>
    <row r="27" customFormat="false" ht="15" hidden="false" customHeight="false" outlineLevel="0" collapsed="false">
      <c r="A27" s="4" t="s">
        <v>282</v>
      </c>
      <c r="B27" s="29" t="n">
        <f aca="false">0</f>
        <v>0</v>
      </c>
      <c r="C27" s="29" t="n">
        <f aca="false">0</f>
        <v>0</v>
      </c>
      <c r="D27" s="29" t="n">
        <f aca="false">0</f>
        <v>0</v>
      </c>
      <c r="E27" s="29" t="n">
        <f aca="false">0</f>
        <v>0</v>
      </c>
      <c r="F27" s="29" t="n">
        <f aca="false">0</f>
        <v>0</v>
      </c>
      <c r="G27" s="29" t="n">
        <f aca="false">0</f>
        <v>0</v>
      </c>
      <c r="H27" s="29" t="n">
        <f aca="false">IF(assm_streamE_on=1,'02_Hypotheses'!$B$67*'03_Scenario_Cycles'!$H$9,0)</f>
        <v>0</v>
      </c>
      <c r="I27" s="29" t="n">
        <f aca="false">IF(assm_streamE_on=1,'02_Hypotheses'!$B$68*'03_Scenario_Cycles'!$I$9,0)</f>
        <v>0</v>
      </c>
      <c r="J27" s="29" t="n">
        <f aca="false">IF(assm_streamE_on=1,'02_Hypotheses'!$B$69*'03_Scenario_Cycles'!$J$9,0)</f>
        <v>0</v>
      </c>
    </row>
    <row r="28" customFormat="false" ht="15" hidden="false" customHeight="false" outlineLevel="0" collapsed="false">
      <c r="A28" s="30" t="s">
        <v>287</v>
      </c>
      <c r="B28" s="31" t="n">
        <f aca="false">SUM(B23:B27)</f>
        <v>0</v>
      </c>
      <c r="C28" s="31" t="n">
        <f aca="false">SUM(C23:C27)</f>
        <v>0</v>
      </c>
      <c r="D28" s="31" t="n">
        <f aca="false">SUM(D23:D27)</f>
        <v>0</v>
      </c>
      <c r="E28" s="31" t="n">
        <f aca="false">SUM(E23:E27)</f>
        <v>0</v>
      </c>
      <c r="F28" s="31" t="n">
        <f aca="false">SUM(F23:F27)</f>
        <v>0</v>
      </c>
      <c r="G28" s="31" t="n">
        <f aca="false">SUM(G23:G27)</f>
        <v>0</v>
      </c>
      <c r="H28" s="31" t="n">
        <f aca="false">SUM(H23:H27)</f>
        <v>0</v>
      </c>
      <c r="I28" s="31" t="n">
        <f aca="false">SUM(I23:I27)</f>
        <v>325</v>
      </c>
      <c r="J28" s="31" t="n">
        <f aca="false">SUM(J23:J27)</f>
        <v>1825</v>
      </c>
    </row>
    <row r="30" customFormat="false" ht="15" hidden="false" customHeight="false" outlineLevel="0" collapsed="false">
      <c r="A30" s="32" t="s">
        <v>288</v>
      </c>
      <c r="B30" s="31" t="n">
        <f aca="false">B12+B20+B28</f>
        <v>0</v>
      </c>
      <c r="C30" s="31" t="n">
        <f aca="false">C12+C20+C28</f>
        <v>325</v>
      </c>
      <c r="D30" s="31" t="n">
        <f aca="false">D12+D20+D28</f>
        <v>1825</v>
      </c>
      <c r="E30" s="31" t="n">
        <f aca="false">E12+E20+E28</f>
        <v>3000</v>
      </c>
      <c r="F30" s="31" t="n">
        <f aca="false">F12+F20+F28</f>
        <v>5275</v>
      </c>
      <c r="G30" s="31" t="n">
        <f aca="false">G12+G20+G28</f>
        <v>1825</v>
      </c>
      <c r="H30" s="31" t="n">
        <f aca="false">H12+H20+H28</f>
        <v>3000</v>
      </c>
      <c r="I30" s="31" t="n">
        <f aca="false">I12+I20+I28</f>
        <v>5275</v>
      </c>
      <c r="J30" s="31" t="n">
        <f aca="false">J12+J20+J28</f>
        <v>1825</v>
      </c>
    </row>
    <row r="32" customFormat="false" ht="15" hidden="false" customHeight="false" outlineLevel="0" collapsed="false">
      <c r="A32" s="7" t="s">
        <v>289</v>
      </c>
    </row>
    <row r="33" customFormat="false" ht="15" hidden="false" customHeight="false" outlineLevel="0" collapsed="false">
      <c r="A33" s="4" t="s">
        <v>290</v>
      </c>
      <c r="B33" s="33" t="n">
        <f aca="false">B7</f>
        <v>0</v>
      </c>
      <c r="C33" s="33" t="n">
        <f aca="false">C7</f>
        <v>150</v>
      </c>
      <c r="D33" s="33" t="n">
        <f aca="false">D7</f>
        <v>350</v>
      </c>
      <c r="E33" s="33" t="n">
        <f aca="false">E7</f>
        <v>600</v>
      </c>
      <c r="F33" s="33" t="n">
        <f aca="false">F7</f>
        <v>0</v>
      </c>
      <c r="G33" s="29" t="n">
        <f aca="false">0</f>
        <v>0</v>
      </c>
      <c r="H33" s="29" t="n">
        <f aca="false">0</f>
        <v>0</v>
      </c>
      <c r="I33" s="29" t="n">
        <f aca="false">0</f>
        <v>0</v>
      </c>
      <c r="J33" s="29" t="n">
        <f aca="false">0</f>
        <v>0</v>
      </c>
    </row>
    <row r="34" customFormat="false" ht="15" hidden="false" customHeight="false" outlineLevel="0" collapsed="false">
      <c r="A34" s="4" t="s">
        <v>291</v>
      </c>
      <c r="B34" s="33" t="n">
        <f aca="false">B8</f>
        <v>0</v>
      </c>
      <c r="C34" s="33" t="n">
        <f aca="false">C8</f>
        <v>100</v>
      </c>
      <c r="D34" s="33" t="n">
        <f aca="false">D8</f>
        <v>250</v>
      </c>
      <c r="E34" s="33" t="n">
        <f aca="false">E8</f>
        <v>450</v>
      </c>
      <c r="F34" s="33" t="n">
        <f aca="false">F8</f>
        <v>2750</v>
      </c>
      <c r="G34" s="29" t="n">
        <f aca="false">0</f>
        <v>0</v>
      </c>
      <c r="H34" s="29" t="n">
        <f aca="false">0</f>
        <v>0</v>
      </c>
      <c r="I34" s="29" t="n">
        <f aca="false">0</f>
        <v>0</v>
      </c>
      <c r="J34" s="29" t="n">
        <f aca="false">0</f>
        <v>0</v>
      </c>
    </row>
    <row r="35" customFormat="false" ht="15" hidden="false" customHeight="false" outlineLevel="0" collapsed="false">
      <c r="A35" s="4" t="s">
        <v>292</v>
      </c>
      <c r="B35" s="33" t="n">
        <f aca="false">B9</f>
        <v>0</v>
      </c>
      <c r="C35" s="33" t="n">
        <f aca="false">C9</f>
        <v>75</v>
      </c>
      <c r="D35" s="33" t="n">
        <f aca="false">D9</f>
        <v>225</v>
      </c>
      <c r="E35" s="33" t="n">
        <f aca="false">E9</f>
        <v>450</v>
      </c>
      <c r="F35" s="33" t="n">
        <f aca="false">F9</f>
        <v>0</v>
      </c>
      <c r="G35" s="29" t="n">
        <f aca="false">0</f>
        <v>0</v>
      </c>
      <c r="H35" s="29" t="n">
        <f aca="false">0</f>
        <v>0</v>
      </c>
      <c r="I35" s="29" t="n">
        <f aca="false">0</f>
        <v>0</v>
      </c>
      <c r="J35" s="29" t="n">
        <f aca="false">0</f>
        <v>0</v>
      </c>
    </row>
    <row r="36" customFormat="false" ht="15" hidden="false" customHeight="false" outlineLevel="0" collapsed="false">
      <c r="A36" s="4" t="s">
        <v>293</v>
      </c>
      <c r="B36" s="33" t="n">
        <f aca="false">B10</f>
        <v>0</v>
      </c>
      <c r="C36" s="33" t="n">
        <f aca="false">C10</f>
        <v>0</v>
      </c>
      <c r="D36" s="33" t="n">
        <f aca="false">D10</f>
        <v>1000</v>
      </c>
      <c r="E36" s="33" t="n">
        <f aca="false">E10</f>
        <v>1500</v>
      </c>
      <c r="F36" s="33" t="n">
        <f aca="false">F10</f>
        <v>2200</v>
      </c>
      <c r="G36" s="29" t="n">
        <f aca="false">0</f>
        <v>0</v>
      </c>
      <c r="H36" s="29" t="n">
        <f aca="false">0</f>
        <v>0</v>
      </c>
      <c r="I36" s="29" t="n">
        <f aca="false">0</f>
        <v>0</v>
      </c>
      <c r="J36" s="29" t="n">
        <f aca="false">0</f>
        <v>0</v>
      </c>
    </row>
    <row r="37" customFormat="false" ht="15" hidden="false" customHeight="false" outlineLevel="0" collapsed="false">
      <c r="A37" s="4" t="s">
        <v>294</v>
      </c>
      <c r="B37" s="33" t="n">
        <f aca="false">B11</f>
        <v>0</v>
      </c>
      <c r="C37" s="33" t="n">
        <f aca="false">C11</f>
        <v>0</v>
      </c>
      <c r="D37" s="33" t="n">
        <f aca="false">D11</f>
        <v>0</v>
      </c>
      <c r="E37" s="33" t="n">
        <f aca="false">E11</f>
        <v>0</v>
      </c>
      <c r="F37" s="33" t="n">
        <f aca="false">F11</f>
        <v>0</v>
      </c>
      <c r="G37" s="29" t="n">
        <f aca="false">0</f>
        <v>0</v>
      </c>
      <c r="H37" s="29" t="n">
        <f aca="false">0</f>
        <v>0</v>
      </c>
      <c r="I37" s="29" t="n">
        <f aca="false">0</f>
        <v>0</v>
      </c>
      <c r="J37" s="29" t="n">
        <f aca="false">0</f>
        <v>0</v>
      </c>
    </row>
    <row r="38" customFormat="false" ht="15" hidden="false" customHeight="false" outlineLevel="0" collapsed="false">
      <c r="A38" s="30" t="s">
        <v>295</v>
      </c>
      <c r="B38" s="31" t="n">
        <f aca="false">SUM(B33:B37)</f>
        <v>0</v>
      </c>
      <c r="C38" s="31" t="n">
        <f aca="false">SUM(C33:C37)</f>
        <v>325</v>
      </c>
      <c r="D38" s="31" t="n">
        <f aca="false">SUM(D33:D37)</f>
        <v>1825</v>
      </c>
      <c r="E38" s="31" t="n">
        <f aca="false">SUM(E33:E37)</f>
        <v>3000</v>
      </c>
      <c r="F38" s="31" t="n">
        <f aca="false">SUM(F33:F37)</f>
        <v>4950</v>
      </c>
      <c r="G38" s="29" t="n">
        <f aca="false">0</f>
        <v>0</v>
      </c>
      <c r="H38" s="29" t="n">
        <f aca="false">0</f>
        <v>0</v>
      </c>
      <c r="I38" s="29" t="n">
        <f aca="false">0</f>
        <v>0</v>
      </c>
      <c r="J38" s="29" t="n">
        <f aca="false">0</f>
        <v>0</v>
      </c>
    </row>
    <row r="40" customFormat="false" ht="15" hidden="false" customHeight="false" outlineLevel="0" collapsed="false">
      <c r="A40" s="7" t="s">
        <v>296</v>
      </c>
    </row>
    <row r="41" customFormat="false" ht="15" hidden="false" customHeight="false" outlineLevel="0" collapsed="false">
      <c r="A41" s="17" t="s">
        <v>297</v>
      </c>
    </row>
    <row r="42" customFormat="false" ht="15" hidden="false" customHeight="false" outlineLevel="0" collapsed="false">
      <c r="A42" s="4" t="s">
        <v>298</v>
      </c>
      <c r="B42" s="29" t="n">
        <f aca="false">'02_Hypotheses'!$B$47*'03_Scenario_Cycles'!$B$7</f>
        <v>0</v>
      </c>
      <c r="C42" s="29" t="n">
        <f aca="false">'02_Hypotheses'!$B$48*'03_Scenario_Cycles'!$C$7</f>
        <v>150</v>
      </c>
      <c r="D42" s="29" t="n">
        <f aca="false">'02_Hypotheses'!$B$49*'03_Scenario_Cycles'!$D$7</f>
        <v>350</v>
      </c>
      <c r="E42" s="29" t="n">
        <f aca="false">'02_Hypotheses'!$B$50*'03_Scenario_Cycles'!$E$7</f>
        <v>600</v>
      </c>
      <c r="F42" s="29" t="n">
        <f aca="false">'02_Hypotheses'!$B$51*'03_Scenario_Cycles'!$F$7</f>
        <v>0</v>
      </c>
      <c r="G42" s="29" t="n">
        <f aca="false">0</f>
        <v>0</v>
      </c>
      <c r="H42" s="29" t="n">
        <f aca="false">0</f>
        <v>0</v>
      </c>
      <c r="I42" s="29" t="n">
        <f aca="false">0</f>
        <v>0</v>
      </c>
      <c r="J42" s="29" t="n">
        <f aca="false">0</f>
        <v>0</v>
      </c>
    </row>
    <row r="43" customFormat="false" ht="15" hidden="false" customHeight="false" outlineLevel="0" collapsed="false">
      <c r="A43" s="4" t="s">
        <v>299</v>
      </c>
      <c r="B43" s="29" t="n">
        <f aca="false">'02_Hypotheses'!$B$52*'03_Scenario_Cycles'!$B$7</f>
        <v>0</v>
      </c>
      <c r="C43" s="29" t="n">
        <f aca="false">'02_Hypotheses'!$B$53*'03_Scenario_Cycles'!$C$7</f>
        <v>100</v>
      </c>
      <c r="D43" s="29" t="n">
        <f aca="false">'02_Hypotheses'!$B$54*'03_Scenario_Cycles'!$D$7</f>
        <v>250</v>
      </c>
      <c r="E43" s="29" t="n">
        <f aca="false">'02_Hypotheses'!$B$55*'03_Scenario_Cycles'!$E$7</f>
        <v>450</v>
      </c>
      <c r="F43" s="29" t="n">
        <f aca="false">'02_Hypotheses'!$B$56*'03_Scenario_Cycles'!$F$7</f>
        <v>2750</v>
      </c>
      <c r="G43" s="29" t="n">
        <f aca="false">0</f>
        <v>0</v>
      </c>
      <c r="H43" s="29" t="n">
        <f aca="false">0</f>
        <v>0</v>
      </c>
      <c r="I43" s="29" t="n">
        <f aca="false">0</f>
        <v>0</v>
      </c>
      <c r="J43" s="29" t="n">
        <f aca="false">0</f>
        <v>0</v>
      </c>
    </row>
    <row r="44" customFormat="false" ht="15" hidden="false" customHeight="false" outlineLevel="0" collapsed="false">
      <c r="A44" s="4" t="s">
        <v>300</v>
      </c>
      <c r="B44" s="29" t="n">
        <f aca="false">'02_Hypotheses'!$B$57*'03_Scenario_Cycles'!$B$7</f>
        <v>0</v>
      </c>
      <c r="C44" s="29" t="n">
        <f aca="false">'02_Hypotheses'!$B$58*'03_Scenario_Cycles'!$C$7</f>
        <v>75</v>
      </c>
      <c r="D44" s="29" t="n">
        <f aca="false">'02_Hypotheses'!$B$59*'03_Scenario_Cycles'!$D$7</f>
        <v>225</v>
      </c>
      <c r="E44" s="29" t="n">
        <f aca="false">'02_Hypotheses'!$B$60*'03_Scenario_Cycles'!$E$7</f>
        <v>450</v>
      </c>
      <c r="F44" s="29" t="n">
        <f aca="false">'02_Hypotheses'!$B$61*'03_Scenario_Cycles'!$F$7</f>
        <v>0</v>
      </c>
      <c r="G44" s="29" t="n">
        <f aca="false">0</f>
        <v>0</v>
      </c>
      <c r="H44" s="29" t="n">
        <f aca="false">0</f>
        <v>0</v>
      </c>
      <c r="I44" s="29" t="n">
        <f aca="false">0</f>
        <v>0</v>
      </c>
      <c r="J44" s="29" t="n">
        <f aca="false">0</f>
        <v>0</v>
      </c>
    </row>
    <row r="45" customFormat="false" ht="15" hidden="false" customHeight="false" outlineLevel="0" collapsed="false">
      <c r="A45" s="4" t="s">
        <v>301</v>
      </c>
      <c r="B45" s="29" t="n">
        <f aca="false">'02_Hypotheses'!$B$62*'03_Scenario_Cycles'!$B$7</f>
        <v>0</v>
      </c>
      <c r="C45" s="29" t="n">
        <f aca="false">'02_Hypotheses'!$B$63*'03_Scenario_Cycles'!$C$7</f>
        <v>0</v>
      </c>
      <c r="D45" s="29" t="n">
        <f aca="false">'02_Hypotheses'!$B$64*'03_Scenario_Cycles'!$D$7</f>
        <v>1000</v>
      </c>
      <c r="E45" s="29" t="n">
        <f aca="false">'02_Hypotheses'!$B$65*'03_Scenario_Cycles'!$E$7</f>
        <v>1500</v>
      </c>
      <c r="F45" s="29" t="n">
        <f aca="false">'02_Hypotheses'!$B$66*'03_Scenario_Cycles'!$F$7</f>
        <v>2200</v>
      </c>
      <c r="G45" s="29" t="n">
        <f aca="false">0</f>
        <v>0</v>
      </c>
      <c r="H45" s="29" t="n">
        <f aca="false">0</f>
        <v>0</v>
      </c>
      <c r="I45" s="29" t="n">
        <f aca="false">0</f>
        <v>0</v>
      </c>
      <c r="J45" s="29" t="n">
        <f aca="false">0</f>
        <v>0</v>
      </c>
    </row>
    <row r="46" customFormat="false" ht="15" hidden="false" customHeight="false" outlineLevel="0" collapsed="false">
      <c r="A46" s="4" t="s">
        <v>302</v>
      </c>
      <c r="B46" s="29" t="n">
        <f aca="false">'02_Hypotheses'!$B$67*'03_Scenario_Cycles'!$B$7</f>
        <v>0</v>
      </c>
      <c r="C46" s="29" t="n">
        <f aca="false">'02_Hypotheses'!$B$68*'03_Scenario_Cycles'!$C$7</f>
        <v>50</v>
      </c>
      <c r="D46" s="29" t="n">
        <f aca="false">'02_Hypotheses'!$B$69*'03_Scenario_Cycles'!$D$7</f>
        <v>175</v>
      </c>
      <c r="E46" s="29" t="n">
        <f aca="false">'02_Hypotheses'!$B$70*'03_Scenario_Cycles'!$E$7</f>
        <v>450</v>
      </c>
      <c r="F46" s="29" t="n">
        <f aca="false">'02_Hypotheses'!$B$71*'03_Scenario_Cycles'!$F$7</f>
        <v>2500</v>
      </c>
      <c r="G46" s="29" t="n">
        <f aca="false">0</f>
        <v>0</v>
      </c>
      <c r="H46" s="29" t="n">
        <f aca="false">0</f>
        <v>0</v>
      </c>
      <c r="I46" s="29" t="n">
        <f aca="false">0</f>
        <v>0</v>
      </c>
      <c r="J46" s="29" t="n">
        <f aca="false">0</f>
        <v>0</v>
      </c>
    </row>
    <row r="47" customFormat="false" ht="15" hidden="false" customHeight="false" outlineLevel="0" collapsed="false">
      <c r="A47" s="30" t="s">
        <v>303</v>
      </c>
      <c r="B47" s="34" t="n">
        <f aca="false">SUM(B42:B46)</f>
        <v>0</v>
      </c>
      <c r="C47" s="34" t="n">
        <f aca="false">SUM(C42:C46)</f>
        <v>375</v>
      </c>
      <c r="D47" s="34" t="n">
        <f aca="false">SUM(D42:D46)</f>
        <v>2000</v>
      </c>
      <c r="E47" s="34" t="n">
        <f aca="false">SUM(E42:E46)</f>
        <v>3450</v>
      </c>
      <c r="F47" s="34" t="n">
        <f aca="false">SUM(F42:F46)</f>
        <v>7450</v>
      </c>
      <c r="G47" s="29" t="n">
        <f aca="false">0</f>
        <v>0</v>
      </c>
      <c r="H47" s="29" t="n">
        <f aca="false">0</f>
        <v>0</v>
      </c>
      <c r="I47" s="29" t="n">
        <f aca="false">0</f>
        <v>0</v>
      </c>
      <c r="J47" s="29" t="n">
        <f aca="false">0</f>
        <v>0</v>
      </c>
      <c r="K47" s="34" t="n">
        <f aca="false">SUM(B47:F47)</f>
        <v>13275</v>
      </c>
    </row>
    <row r="49" customFormat="false" ht="15" hidden="false" customHeight="false" outlineLevel="0" collapsed="false">
      <c r="A49" s="7" t="s">
        <v>304</v>
      </c>
    </row>
    <row r="50" customFormat="false" ht="15" hidden="false" customHeight="false" outlineLevel="0" collapsed="false">
      <c r="A50" s="4" t="s">
        <v>305</v>
      </c>
      <c r="B50" s="29" t="n">
        <f aca="false">0</f>
        <v>0</v>
      </c>
      <c r="C50" s="29" t="n">
        <f aca="false">0</f>
        <v>0</v>
      </c>
      <c r="D50" s="29" t="n">
        <f aca="false">0</f>
        <v>0</v>
      </c>
      <c r="E50" s="29" t="n">
        <f aca="false">'02_Hypotheses'!$B$47*'03_Scenario_Cycles'!$E$8</f>
        <v>0</v>
      </c>
      <c r="F50" s="29" t="n">
        <f aca="false">'02_Hypotheses'!$B$48*'03_Scenario_Cycles'!$F$8</f>
        <v>150</v>
      </c>
      <c r="G50" s="29" t="n">
        <f aca="false">'02_Hypotheses'!$B$49*'03_Scenario_Cycles'!$G$8</f>
        <v>350</v>
      </c>
      <c r="H50" s="29" t="n">
        <f aca="false">'02_Hypotheses'!$B$50*'03_Scenario_Cycles'!$H$8</f>
        <v>600</v>
      </c>
      <c r="I50" s="29" t="n">
        <f aca="false">'02_Hypotheses'!$B$51*'03_Scenario_Cycles'!$I$8</f>
        <v>0</v>
      </c>
      <c r="J50" s="29" t="n">
        <f aca="false">0</f>
        <v>0</v>
      </c>
    </row>
    <row r="51" customFormat="false" ht="15" hidden="false" customHeight="false" outlineLevel="0" collapsed="false">
      <c r="A51" s="4" t="s">
        <v>306</v>
      </c>
      <c r="B51" s="29" t="n">
        <f aca="false">0</f>
        <v>0</v>
      </c>
      <c r="C51" s="29" t="n">
        <f aca="false">0</f>
        <v>0</v>
      </c>
      <c r="D51" s="29" t="n">
        <f aca="false">0</f>
        <v>0</v>
      </c>
      <c r="E51" s="29" t="n">
        <f aca="false">'02_Hypotheses'!$B$52*'03_Scenario_Cycles'!$E$8</f>
        <v>0</v>
      </c>
      <c r="F51" s="29" t="n">
        <f aca="false">'02_Hypotheses'!$B$53*'03_Scenario_Cycles'!$F$8</f>
        <v>100</v>
      </c>
      <c r="G51" s="29" t="n">
        <f aca="false">'02_Hypotheses'!$B$54*'03_Scenario_Cycles'!$G$8</f>
        <v>250</v>
      </c>
      <c r="H51" s="29" t="n">
        <f aca="false">'02_Hypotheses'!$B$55*'03_Scenario_Cycles'!$H$8</f>
        <v>450</v>
      </c>
      <c r="I51" s="29" t="n">
        <f aca="false">'02_Hypotheses'!$B$56*'03_Scenario_Cycles'!$I$8</f>
        <v>2750</v>
      </c>
      <c r="J51" s="29" t="n">
        <f aca="false">0</f>
        <v>0</v>
      </c>
    </row>
    <row r="52" customFormat="false" ht="15" hidden="false" customHeight="false" outlineLevel="0" collapsed="false">
      <c r="A52" s="4" t="s">
        <v>307</v>
      </c>
      <c r="B52" s="29" t="n">
        <f aca="false">0</f>
        <v>0</v>
      </c>
      <c r="C52" s="29" t="n">
        <f aca="false">0</f>
        <v>0</v>
      </c>
      <c r="D52" s="29" t="n">
        <f aca="false">0</f>
        <v>0</v>
      </c>
      <c r="E52" s="29" t="n">
        <f aca="false">'02_Hypotheses'!$B$57*'03_Scenario_Cycles'!$E$8</f>
        <v>0</v>
      </c>
      <c r="F52" s="29" t="n">
        <f aca="false">'02_Hypotheses'!$B$58*'03_Scenario_Cycles'!$F$8</f>
        <v>75</v>
      </c>
      <c r="G52" s="29" t="n">
        <f aca="false">'02_Hypotheses'!$B$59*'03_Scenario_Cycles'!$G$8</f>
        <v>225</v>
      </c>
      <c r="H52" s="29" t="n">
        <f aca="false">'02_Hypotheses'!$B$60*'03_Scenario_Cycles'!$H$8</f>
        <v>450</v>
      </c>
      <c r="I52" s="29" t="n">
        <f aca="false">'02_Hypotheses'!$B$61*'03_Scenario_Cycles'!$I$8</f>
        <v>0</v>
      </c>
      <c r="J52" s="29" t="n">
        <f aca="false">0</f>
        <v>0</v>
      </c>
    </row>
    <row r="53" customFormat="false" ht="15" hidden="false" customHeight="false" outlineLevel="0" collapsed="false">
      <c r="A53" s="4" t="s">
        <v>308</v>
      </c>
      <c r="B53" s="29" t="n">
        <f aca="false">0</f>
        <v>0</v>
      </c>
      <c r="C53" s="29" t="n">
        <f aca="false">0</f>
        <v>0</v>
      </c>
      <c r="D53" s="29" t="n">
        <f aca="false">0</f>
        <v>0</v>
      </c>
      <c r="E53" s="29" t="n">
        <f aca="false">'02_Hypotheses'!$B$62*'03_Scenario_Cycles'!$E$8</f>
        <v>0</v>
      </c>
      <c r="F53" s="29" t="n">
        <f aca="false">'02_Hypotheses'!$B$63*'03_Scenario_Cycles'!$F$8</f>
        <v>0</v>
      </c>
      <c r="G53" s="29" t="n">
        <f aca="false">'02_Hypotheses'!$B$64*'03_Scenario_Cycles'!$G$8</f>
        <v>1000</v>
      </c>
      <c r="H53" s="29" t="n">
        <f aca="false">'02_Hypotheses'!$B$65*'03_Scenario_Cycles'!$H$8</f>
        <v>1500</v>
      </c>
      <c r="I53" s="29" t="n">
        <f aca="false">'02_Hypotheses'!$B$66*'03_Scenario_Cycles'!$I$8</f>
        <v>2200</v>
      </c>
      <c r="J53" s="29" t="n">
        <f aca="false">0</f>
        <v>0</v>
      </c>
    </row>
    <row r="54" customFormat="false" ht="15" hidden="false" customHeight="false" outlineLevel="0" collapsed="false">
      <c r="A54" s="4" t="s">
        <v>309</v>
      </c>
      <c r="B54" s="29" t="n">
        <f aca="false">0</f>
        <v>0</v>
      </c>
      <c r="C54" s="29" t="n">
        <f aca="false">0</f>
        <v>0</v>
      </c>
      <c r="D54" s="29" t="n">
        <f aca="false">0</f>
        <v>0</v>
      </c>
      <c r="E54" s="29" t="n">
        <f aca="false">'02_Hypotheses'!$B$67*'03_Scenario_Cycles'!$E$8</f>
        <v>0</v>
      </c>
      <c r="F54" s="29" t="n">
        <f aca="false">'02_Hypotheses'!$B$68*'03_Scenario_Cycles'!$F$8</f>
        <v>50</v>
      </c>
      <c r="G54" s="29" t="n">
        <f aca="false">'02_Hypotheses'!$B$69*'03_Scenario_Cycles'!$G$8</f>
        <v>175</v>
      </c>
      <c r="H54" s="29" t="n">
        <f aca="false">'02_Hypotheses'!$B$70*'03_Scenario_Cycles'!$H$8</f>
        <v>450</v>
      </c>
      <c r="I54" s="29" t="n">
        <f aca="false">'02_Hypotheses'!$B$71*'03_Scenario_Cycles'!$I$8</f>
        <v>2500</v>
      </c>
      <c r="J54" s="29" t="n">
        <f aca="false">0</f>
        <v>0</v>
      </c>
    </row>
    <row r="55" customFormat="false" ht="15" hidden="false" customHeight="false" outlineLevel="0" collapsed="false">
      <c r="A55" s="30" t="s">
        <v>310</v>
      </c>
      <c r="B55" s="34" t="n">
        <f aca="false">SUM(B50:B54)</f>
        <v>0</v>
      </c>
      <c r="C55" s="34" t="n">
        <f aca="false">SUM(C50:C54)</f>
        <v>0</v>
      </c>
      <c r="D55" s="34" t="n">
        <f aca="false">SUM(D50:D54)</f>
        <v>0</v>
      </c>
      <c r="E55" s="34" t="n">
        <f aca="false">SUM(E50:E54)</f>
        <v>0</v>
      </c>
      <c r="F55" s="34" t="n">
        <f aca="false">SUM(F50:F54)</f>
        <v>375</v>
      </c>
      <c r="G55" s="34" t="n">
        <f aca="false">SUM(G50:G54)</f>
        <v>2000</v>
      </c>
      <c r="H55" s="34" t="n">
        <f aca="false">SUM(H50:H54)</f>
        <v>3450</v>
      </c>
      <c r="I55" s="34" t="n">
        <f aca="false">SUM(I50:I54)</f>
        <v>7450</v>
      </c>
      <c r="J55" s="34" t="n">
        <f aca="false">SUM(J50:J54)</f>
        <v>0</v>
      </c>
      <c r="K55" s="34" t="n">
        <f aca="false">SUM(B55:J55)</f>
        <v>13275</v>
      </c>
    </row>
    <row r="57" customFormat="false" ht="15" hidden="false" customHeight="false" outlineLevel="0" collapsed="false">
      <c r="A57" s="7" t="s">
        <v>311</v>
      </c>
    </row>
    <row r="58" customFormat="false" ht="15" hidden="false" customHeight="false" outlineLevel="0" collapsed="false">
      <c r="A58" s="4" t="s">
        <v>312</v>
      </c>
      <c r="B58" s="29" t="n">
        <f aca="false">0</f>
        <v>0</v>
      </c>
      <c r="C58" s="29" t="n">
        <f aca="false">0</f>
        <v>0</v>
      </c>
      <c r="D58" s="29" t="n">
        <f aca="false">0</f>
        <v>0</v>
      </c>
      <c r="E58" s="29" t="n">
        <f aca="false">0</f>
        <v>0</v>
      </c>
      <c r="F58" s="29" t="n">
        <f aca="false">0</f>
        <v>0</v>
      </c>
      <c r="G58" s="29" t="n">
        <f aca="false">0</f>
        <v>0</v>
      </c>
      <c r="H58" s="29" t="n">
        <f aca="false">'02_Hypotheses'!$B$47*'03_Scenario_Cycles'!$H$9</f>
        <v>0</v>
      </c>
      <c r="I58" s="29" t="n">
        <f aca="false">'02_Hypotheses'!$B$48*'03_Scenario_Cycles'!$I$9</f>
        <v>150</v>
      </c>
      <c r="J58" s="29" t="n">
        <f aca="false">'02_Hypotheses'!$B$49*'03_Scenario_Cycles'!$J$9</f>
        <v>350</v>
      </c>
    </row>
    <row r="59" customFormat="false" ht="15" hidden="false" customHeight="false" outlineLevel="0" collapsed="false">
      <c r="A59" s="4" t="s">
        <v>313</v>
      </c>
      <c r="B59" s="29" t="n">
        <f aca="false">0</f>
        <v>0</v>
      </c>
      <c r="C59" s="29" t="n">
        <f aca="false">0</f>
        <v>0</v>
      </c>
      <c r="D59" s="29" t="n">
        <f aca="false">0</f>
        <v>0</v>
      </c>
      <c r="E59" s="29" t="n">
        <f aca="false">0</f>
        <v>0</v>
      </c>
      <c r="F59" s="29" t="n">
        <f aca="false">0</f>
        <v>0</v>
      </c>
      <c r="G59" s="29" t="n">
        <f aca="false">0</f>
        <v>0</v>
      </c>
      <c r="H59" s="29" t="n">
        <f aca="false">'02_Hypotheses'!$B$52*'03_Scenario_Cycles'!$H$9</f>
        <v>0</v>
      </c>
      <c r="I59" s="29" t="n">
        <f aca="false">'02_Hypotheses'!$B$53*'03_Scenario_Cycles'!$I$9</f>
        <v>100</v>
      </c>
      <c r="J59" s="29" t="n">
        <f aca="false">'02_Hypotheses'!$B$54*'03_Scenario_Cycles'!$J$9</f>
        <v>250</v>
      </c>
    </row>
    <row r="60" customFormat="false" ht="15" hidden="false" customHeight="false" outlineLevel="0" collapsed="false">
      <c r="A60" s="4" t="s">
        <v>314</v>
      </c>
      <c r="B60" s="29" t="n">
        <f aca="false">0</f>
        <v>0</v>
      </c>
      <c r="C60" s="29" t="n">
        <f aca="false">0</f>
        <v>0</v>
      </c>
      <c r="D60" s="29" t="n">
        <f aca="false">0</f>
        <v>0</v>
      </c>
      <c r="E60" s="29" t="n">
        <f aca="false">0</f>
        <v>0</v>
      </c>
      <c r="F60" s="29" t="n">
        <f aca="false">0</f>
        <v>0</v>
      </c>
      <c r="G60" s="29" t="n">
        <f aca="false">0</f>
        <v>0</v>
      </c>
      <c r="H60" s="29" t="n">
        <f aca="false">'02_Hypotheses'!$B$57*'03_Scenario_Cycles'!$H$9</f>
        <v>0</v>
      </c>
      <c r="I60" s="29" t="n">
        <f aca="false">'02_Hypotheses'!$B$58*'03_Scenario_Cycles'!$I$9</f>
        <v>75</v>
      </c>
      <c r="J60" s="29" t="n">
        <f aca="false">'02_Hypotheses'!$B$59*'03_Scenario_Cycles'!$J$9</f>
        <v>225</v>
      </c>
    </row>
    <row r="61" customFormat="false" ht="15" hidden="false" customHeight="false" outlineLevel="0" collapsed="false">
      <c r="A61" s="4" t="s">
        <v>315</v>
      </c>
      <c r="B61" s="29" t="n">
        <f aca="false">0</f>
        <v>0</v>
      </c>
      <c r="C61" s="29" t="n">
        <f aca="false">0</f>
        <v>0</v>
      </c>
      <c r="D61" s="29" t="n">
        <f aca="false">0</f>
        <v>0</v>
      </c>
      <c r="E61" s="29" t="n">
        <f aca="false">0</f>
        <v>0</v>
      </c>
      <c r="F61" s="29" t="n">
        <f aca="false">0</f>
        <v>0</v>
      </c>
      <c r="G61" s="29" t="n">
        <f aca="false">0</f>
        <v>0</v>
      </c>
      <c r="H61" s="29" t="n">
        <f aca="false">'02_Hypotheses'!$B$62*'03_Scenario_Cycles'!$H$9</f>
        <v>0</v>
      </c>
      <c r="I61" s="29" t="n">
        <f aca="false">'02_Hypotheses'!$B$63*'03_Scenario_Cycles'!$I$9</f>
        <v>0</v>
      </c>
      <c r="J61" s="29" t="n">
        <f aca="false">'02_Hypotheses'!$B$64*'03_Scenario_Cycles'!$J$9</f>
        <v>1000</v>
      </c>
    </row>
    <row r="62" customFormat="false" ht="15" hidden="false" customHeight="false" outlineLevel="0" collapsed="false">
      <c r="A62" s="4" t="s">
        <v>316</v>
      </c>
      <c r="B62" s="29" t="n">
        <f aca="false">0</f>
        <v>0</v>
      </c>
      <c r="C62" s="29" t="n">
        <f aca="false">0</f>
        <v>0</v>
      </c>
      <c r="D62" s="29" t="n">
        <f aca="false">0</f>
        <v>0</v>
      </c>
      <c r="E62" s="29" t="n">
        <f aca="false">0</f>
        <v>0</v>
      </c>
      <c r="F62" s="29" t="n">
        <f aca="false">0</f>
        <v>0</v>
      </c>
      <c r="G62" s="29" t="n">
        <f aca="false">0</f>
        <v>0</v>
      </c>
      <c r="H62" s="29" t="n">
        <f aca="false">'02_Hypotheses'!$B$67*'03_Scenario_Cycles'!$H$9</f>
        <v>0</v>
      </c>
      <c r="I62" s="29" t="n">
        <f aca="false">'02_Hypotheses'!$B$68*'03_Scenario_Cycles'!$I$9</f>
        <v>50</v>
      </c>
      <c r="J62" s="29" t="n">
        <f aca="false">'02_Hypotheses'!$B$69*'03_Scenario_Cycles'!$J$9</f>
        <v>175</v>
      </c>
    </row>
    <row r="63" customFormat="false" ht="15" hidden="false" customHeight="false" outlineLevel="0" collapsed="false">
      <c r="A63" s="30" t="s">
        <v>317</v>
      </c>
      <c r="B63" s="34" t="n">
        <f aca="false">SUM(B58:B62)</f>
        <v>0</v>
      </c>
      <c r="C63" s="34" t="n">
        <f aca="false">SUM(C58:C62)</f>
        <v>0</v>
      </c>
      <c r="D63" s="34" t="n">
        <f aca="false">SUM(D58:D62)</f>
        <v>0</v>
      </c>
      <c r="E63" s="34" t="n">
        <f aca="false">SUM(E58:E62)</f>
        <v>0</v>
      </c>
      <c r="F63" s="34" t="n">
        <f aca="false">SUM(F58:F62)</f>
        <v>0</v>
      </c>
      <c r="G63" s="34" t="n">
        <f aca="false">SUM(G58:G62)</f>
        <v>0</v>
      </c>
      <c r="H63" s="34" t="n">
        <f aca="false">SUM(H58:H62)</f>
        <v>0</v>
      </c>
      <c r="I63" s="34" t="n">
        <f aca="false">SUM(I58:I62)</f>
        <v>375</v>
      </c>
      <c r="J63" s="34" t="n">
        <f aca="false">SUM(J58:J62)</f>
        <v>2000</v>
      </c>
      <c r="K63" s="34" t="n">
        <f aca="false">SUM(B63:J63)</f>
        <v>2375</v>
      </c>
    </row>
    <row r="65" customFormat="false" ht="15" hidden="false" customHeight="false" outlineLevel="0" collapsed="false">
      <c r="A65" s="32" t="s">
        <v>318</v>
      </c>
      <c r="B65" s="34" t="n">
        <f aca="false">B47+B55+B63</f>
        <v>0</v>
      </c>
      <c r="C65" s="34" t="n">
        <f aca="false">C47+C55+C63</f>
        <v>375</v>
      </c>
      <c r="D65" s="34" t="n">
        <f aca="false">D47+D55+D63</f>
        <v>2000</v>
      </c>
      <c r="E65" s="34" t="n">
        <f aca="false">E47+E55+E63</f>
        <v>3450</v>
      </c>
      <c r="F65" s="34" t="n">
        <f aca="false">F47+F55+F63</f>
        <v>7825</v>
      </c>
      <c r="G65" s="34" t="n">
        <f aca="false">G47+G55+G63</f>
        <v>2000</v>
      </c>
      <c r="H65" s="34" t="n">
        <f aca="false">H47+H55+H63</f>
        <v>3450</v>
      </c>
      <c r="I65" s="34" t="n">
        <f aca="false">I47+I55+I63</f>
        <v>7825</v>
      </c>
      <c r="J65" s="34" t="n">
        <f aca="false">J47+J55+J63</f>
        <v>2000</v>
      </c>
      <c r="K65" s="34" t="n">
        <f aca="false">SUM(B65:J65)</f>
        <v>28925</v>
      </c>
    </row>
    <row r="67" customFormat="false" ht="15" hidden="false" customHeight="false" outlineLevel="0" collapsed="false">
      <c r="A67" s="7" t="s">
        <v>319</v>
      </c>
    </row>
    <row r="68" customFormat="false" ht="15" hidden="false" customHeight="false" outlineLevel="0" collapsed="false">
      <c r="A68" s="30" t="s">
        <v>320</v>
      </c>
      <c r="B68" s="29" t="n">
        <f aca="false">SUM(B42:B46)*CHOOSE(1,1,1,1,1,1)</f>
        <v>0</v>
      </c>
      <c r="C68" s="29" t="n">
        <f aca="false">SUM(C42:C46)*CHOOSE(1,'02_Hypotheses'!$B$13,1,'02_Hypotheses'!$B$17)</f>
        <v>262.5</v>
      </c>
      <c r="D68" s="29" t="n">
        <f aca="false">SUM(D42:D46)*CHOOSE(1,'02_Hypotheses'!$B$14,1,'02_Hypotheses'!$B$18)</f>
        <v>1400</v>
      </c>
      <c r="E68" s="29" t="n">
        <f aca="false">SUM(E42:E46)*CHOOSE(1,'02_Hypotheses'!$B$15,1,'02_Hypotheses'!$B$19)</f>
        <v>2415</v>
      </c>
      <c r="F68" s="29" t="n">
        <f aca="false">SUM(F42:F46)*CHOOSE(1,'02_Hypotheses'!$B$16,1,'02_Hypotheses'!$B$20)</f>
        <v>4479.9979</v>
      </c>
      <c r="G68" s="29" t="n">
        <f aca="false">0</f>
        <v>0</v>
      </c>
      <c r="H68" s="29" t="n">
        <f aca="false">0</f>
        <v>0</v>
      </c>
      <c r="I68" s="29" t="n">
        <f aca="false">0</f>
        <v>0</v>
      </c>
      <c r="J68" s="29" t="n">
        <f aca="false">0</f>
        <v>0</v>
      </c>
      <c r="K68" s="34" t="n">
        <f aca="false">SUM(B68:F68)</f>
        <v>8557.4979</v>
      </c>
    </row>
    <row r="69" customFormat="false" ht="15" hidden="false" customHeight="false" outlineLevel="0" collapsed="false">
      <c r="A69" s="30" t="s">
        <v>321</v>
      </c>
      <c r="B69" s="29" t="n">
        <f aca="false">SUM(B42:B46)*CHOOSE(3,1,1,1,1,1)</f>
        <v>0</v>
      </c>
      <c r="C69" s="29" t="n">
        <f aca="false">SUM(C42:C46)*CHOOSE(3,'02_Hypotheses'!$B$13,1,'02_Hypotheses'!$B$17)</f>
        <v>487.5</v>
      </c>
      <c r="D69" s="29" t="n">
        <f aca="false">SUM(D42:D46)*CHOOSE(3,'02_Hypotheses'!$B$14,1,'02_Hypotheses'!$B$18)</f>
        <v>2600</v>
      </c>
      <c r="E69" s="29" t="n">
        <f aca="false">SUM(E42:E46)*CHOOSE(3,'02_Hypotheses'!$B$15,1,'02_Hypotheses'!$B$19)</f>
        <v>4485</v>
      </c>
      <c r="F69" s="29" t="n">
        <f aca="false">SUM(F42:F46)*CHOOSE(3,'02_Hypotheses'!$B$16,1,'02_Hypotheses'!$B$20)</f>
        <v>10659.9964</v>
      </c>
      <c r="G69" s="29" t="n">
        <f aca="false">0</f>
        <v>0</v>
      </c>
      <c r="H69" s="29" t="n">
        <f aca="false">0</f>
        <v>0</v>
      </c>
      <c r="I69" s="29" t="n">
        <f aca="false">0</f>
        <v>0</v>
      </c>
      <c r="J69" s="29" t="n">
        <f aca="false">0</f>
        <v>0</v>
      </c>
      <c r="K69" s="34" t="n">
        <f aca="false">SUM(B69:F69)</f>
        <v>18232.4964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A75"/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322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323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4" t="s">
        <v>186</v>
      </c>
      <c r="B6" s="29" t="n">
        <f aca="false">'02_Hypotheses'!$B$73*'02_Hypotheses'!$B$82</f>
        <v>400.32</v>
      </c>
      <c r="C6" s="29" t="n">
        <f aca="false">'02_Hypotheses'!$B$73*'02_Hypotheses'!$B$83</f>
        <v>499.68</v>
      </c>
      <c r="D6" s="29" t="n">
        <f aca="false">'02_Hypotheses'!$B$73*'02_Hypotheses'!$B$84</f>
        <v>519.84</v>
      </c>
      <c r="E6" s="29" t="n">
        <f aca="false">'02_Hypotheses'!$B$73*'02_Hypotheses'!$B$85+'02_Hypotheses'!$B$73*'02_Hypotheses'!$B$82</f>
        <v>1030.32</v>
      </c>
      <c r="F6" s="29" t="n">
        <f aca="false">'02_Hypotheses'!$B$73+'02_Hypotheses'!$B$73*'02_Hypotheses'!$B$83</f>
        <v>1219.68</v>
      </c>
      <c r="G6" s="29" t="n">
        <f aca="false">'02_Hypotheses'!$B$73*'02_Hypotheses'!$B$84</f>
        <v>519.84</v>
      </c>
      <c r="H6" s="29" t="n">
        <f aca="false">'02_Hypotheses'!$B$73*'02_Hypotheses'!$B$85+'02_Hypotheses'!$B$73*'02_Hypotheses'!$B$82</f>
        <v>1030.32</v>
      </c>
      <c r="I6" s="29" t="n">
        <f aca="false">'02_Hypotheses'!$B$73+'02_Hypotheses'!$B$73*'02_Hypotheses'!$B$83</f>
        <v>1219.68</v>
      </c>
      <c r="J6" s="29" t="n">
        <f aca="false">'02_Hypotheses'!$B$73*'02_Hypotheses'!$B$84</f>
        <v>519.84</v>
      </c>
    </row>
    <row r="7" customFormat="false" ht="15" hidden="false" customHeight="false" outlineLevel="0" collapsed="false">
      <c r="A7" s="4" t="s">
        <v>189</v>
      </c>
      <c r="B7" s="29" t="n">
        <f aca="false">'02_Hypotheses'!$B$74</f>
        <v>10</v>
      </c>
      <c r="C7" s="29" t="n">
        <f aca="false">'02_Hypotheses'!$B$74</f>
        <v>10</v>
      </c>
      <c r="D7" s="29" t="n">
        <f aca="false">'02_Hypotheses'!$B$74</f>
        <v>10</v>
      </c>
      <c r="E7" s="29" t="n">
        <f aca="false">'02_Hypotheses'!$B$74</f>
        <v>10</v>
      </c>
      <c r="F7" s="29" t="n">
        <f aca="false">'02_Hypotheses'!$B$74</f>
        <v>10</v>
      </c>
      <c r="G7" s="29" t="n">
        <f aca="false">'02_Hypotheses'!$B$74</f>
        <v>10</v>
      </c>
      <c r="H7" s="29" t="n">
        <f aca="false">'02_Hypotheses'!$B$74</f>
        <v>10</v>
      </c>
      <c r="I7" s="29" t="n">
        <f aca="false">'02_Hypotheses'!$B$74</f>
        <v>10</v>
      </c>
      <c r="J7" s="29" t="n">
        <f aca="false">'02_Hypotheses'!$B$74</f>
        <v>10</v>
      </c>
    </row>
    <row r="8" customFormat="false" ht="15" hidden="false" customHeight="false" outlineLevel="0" collapsed="false">
      <c r="A8" s="4" t="s">
        <v>324</v>
      </c>
      <c r="B8" s="29" t="n">
        <f aca="false">'02_Hypotheses'!$B$75*'02_Hypotheses'!$B$86</f>
        <v>30</v>
      </c>
      <c r="C8" s="29" t="n">
        <f aca="false">'02_Hypotheses'!$B$75*'02_Hypotheses'!$B$87</f>
        <v>40</v>
      </c>
      <c r="D8" s="29" t="n">
        <f aca="false">'02_Hypotheses'!$B$75*'02_Hypotheses'!$B$88</f>
        <v>50</v>
      </c>
      <c r="E8" s="29" t="n">
        <f aca="false">'02_Hypotheses'!$B$75*'02_Hypotheses'!$B$89+'02_Hypotheses'!$B$75*'02_Hypotheses'!$B$86</f>
        <v>90</v>
      </c>
      <c r="F8" s="29" t="n">
        <f aca="false">'02_Hypotheses'!$B$75+'02_Hypotheses'!$B$75*'02_Hypotheses'!$B$87</f>
        <v>120</v>
      </c>
      <c r="G8" s="29" t="n">
        <f aca="false">'02_Hypotheses'!$B$75*'02_Hypotheses'!$B$88</f>
        <v>50</v>
      </c>
      <c r="H8" s="29" t="n">
        <f aca="false">'02_Hypotheses'!$B$75*'02_Hypotheses'!$B$89+'02_Hypotheses'!$B$75*'02_Hypotheses'!$B$86</f>
        <v>90</v>
      </c>
      <c r="I8" s="29" t="n">
        <f aca="false">'02_Hypotheses'!$B$75+'02_Hypotheses'!$B$75*'02_Hypotheses'!$B$87</f>
        <v>120</v>
      </c>
      <c r="J8" s="29" t="n">
        <f aca="false">'02_Hypotheses'!$B$75*'02_Hypotheses'!$B$88</f>
        <v>50</v>
      </c>
    </row>
    <row r="9" customFormat="false" ht="15" hidden="false" customHeight="false" outlineLevel="0" collapsed="false">
      <c r="A9" s="4" t="s">
        <v>325</v>
      </c>
      <c r="B9" s="29" t="n">
        <f aca="false">'02_Hypotheses'!$B$76*'02_Hypotheses'!$B$90</f>
        <v>130</v>
      </c>
      <c r="C9" s="29" t="n">
        <f aca="false">'02_Hypotheses'!$B$76*'02_Hypotheses'!$B$91</f>
        <v>179.92</v>
      </c>
      <c r="D9" s="29" t="n">
        <f aca="false">'02_Hypotheses'!$B$76*'02_Hypotheses'!$B$92</f>
        <v>199.94</v>
      </c>
      <c r="E9" s="29" t="n">
        <f aca="false">'02_Hypotheses'!$B$76*'02_Hypotheses'!$B$93+'02_Hypotheses'!$B$76*'02_Hypotheses'!$B$90</f>
        <v>360.1</v>
      </c>
      <c r="F9" s="29" t="n">
        <f aca="false">'02_Hypotheses'!$B$76+'02_Hypotheses'!$B$76*'02_Hypotheses'!$B$91</f>
        <v>439.92</v>
      </c>
      <c r="G9" s="29" t="n">
        <f aca="false">'02_Hypotheses'!$B$76*'02_Hypotheses'!$B$92</f>
        <v>199.94</v>
      </c>
      <c r="H9" s="29" t="n">
        <f aca="false">'02_Hypotheses'!$B$76*'02_Hypotheses'!$B$93+'02_Hypotheses'!$B$76*'02_Hypotheses'!$B$90</f>
        <v>360.1</v>
      </c>
      <c r="I9" s="29" t="n">
        <f aca="false">'02_Hypotheses'!$B$76+'02_Hypotheses'!$B$76*'02_Hypotheses'!$B$91</f>
        <v>439.92</v>
      </c>
      <c r="J9" s="29" t="n">
        <f aca="false">'02_Hypotheses'!$B$76*'02_Hypotheses'!$B$92</f>
        <v>199.94</v>
      </c>
    </row>
    <row r="10" customFormat="false" ht="15" hidden="false" customHeight="false" outlineLevel="0" collapsed="false">
      <c r="A10" s="4" t="s">
        <v>326</v>
      </c>
      <c r="B10" s="29" t="n">
        <f aca="false">'02_Hypotheses'!$B$77*'02_Hypotheses'!$B$94</f>
        <v>19.981</v>
      </c>
      <c r="C10" s="29" t="n">
        <f aca="false">'02_Hypotheses'!$B$77*'02_Hypotheses'!$B$95</f>
        <v>29.998</v>
      </c>
      <c r="D10" s="29" t="n">
        <f aca="false">'02_Hypotheses'!$B$77*'02_Hypotheses'!$B$96</f>
        <v>40.015</v>
      </c>
      <c r="E10" s="29" t="n">
        <f aca="false">'02_Hypotheses'!$B$77*'02_Hypotheses'!$B$97+'02_Hypotheses'!$B$77*'02_Hypotheses'!$B$94</f>
        <v>66.992</v>
      </c>
      <c r="F10" s="29" t="n">
        <f aca="false">'02_Hypotheses'!$B$77+'02_Hypotheses'!$B$77*'02_Hypotheses'!$B$95</f>
        <v>82.998</v>
      </c>
      <c r="G10" s="29" t="n">
        <f aca="false">'02_Hypotheses'!$B$77*'02_Hypotheses'!$B$96</f>
        <v>40.015</v>
      </c>
      <c r="H10" s="29" t="n">
        <f aca="false">'02_Hypotheses'!$B$77*'02_Hypotheses'!$B$97+'02_Hypotheses'!$B$77*'02_Hypotheses'!$B$94</f>
        <v>66.992</v>
      </c>
      <c r="I10" s="29" t="n">
        <f aca="false">'02_Hypotheses'!$B$77+'02_Hypotheses'!$B$77*'02_Hypotheses'!$B$95</f>
        <v>82.998</v>
      </c>
      <c r="J10" s="29" t="n">
        <f aca="false">'02_Hypotheses'!$B$77*'02_Hypotheses'!$B$96</f>
        <v>40.015</v>
      </c>
    </row>
    <row r="11" customFormat="false" ht="15" hidden="false" customHeight="false" outlineLevel="0" collapsed="false">
      <c r="A11" s="4" t="s">
        <v>327</v>
      </c>
      <c r="B11" s="29" t="n">
        <f aca="false">'02_Hypotheses'!$B$78*'02_Hypotheses'!$B$98</f>
        <v>29.975</v>
      </c>
      <c r="C11" s="29" t="n">
        <f aca="false">'02_Hypotheses'!$B$78*'02_Hypotheses'!$B$99</f>
        <v>39.985</v>
      </c>
      <c r="D11" s="29" t="n">
        <f aca="false">'02_Hypotheses'!$B$78*'02_Hypotheses'!$B$100</f>
        <v>44.99</v>
      </c>
      <c r="E11" s="29" t="n">
        <f aca="false">'02_Hypotheses'!$B$78*'02_Hypotheses'!$B$101+'02_Hypotheses'!$B$78*'02_Hypotheses'!$B$98</f>
        <v>79.97</v>
      </c>
      <c r="F11" s="29" t="n">
        <f aca="false">'02_Hypotheses'!$B$78+'02_Hypotheses'!$B$78*'02_Hypotheses'!$B$99</f>
        <v>94.985</v>
      </c>
      <c r="G11" s="29" t="n">
        <f aca="false">'02_Hypotheses'!$B$78*'02_Hypotheses'!$B$100</f>
        <v>44.99</v>
      </c>
      <c r="H11" s="29" t="n">
        <f aca="false">'02_Hypotheses'!$B$78*'02_Hypotheses'!$B$101+'02_Hypotheses'!$B$78*'02_Hypotheses'!$B$98</f>
        <v>79.97</v>
      </c>
      <c r="I11" s="29" t="n">
        <f aca="false">'02_Hypotheses'!$B$78+'02_Hypotheses'!$B$78*'02_Hypotheses'!$B$99</f>
        <v>94.985</v>
      </c>
      <c r="J11" s="29" t="n">
        <f aca="false">'02_Hypotheses'!$B$78*'02_Hypotheses'!$B$100</f>
        <v>44.99</v>
      </c>
    </row>
    <row r="12" customFormat="false" ht="15" hidden="false" customHeight="false" outlineLevel="0" collapsed="false">
      <c r="A12" s="4" t="s">
        <v>328</v>
      </c>
      <c r="B12" s="29" t="n">
        <f aca="false">'02_Hypotheses'!$B$79*('02_Hypotheses'!$B$62*'03_Scenario_Cycles'!$B$7+IF(assm_streamE_on=1,'02_Hypotheses'!$B$67*'03_Scenario_Cycles'!$B$7,0))</f>
        <v>0</v>
      </c>
      <c r="C12" s="29" t="n">
        <f aca="false">'02_Hypotheses'!$B$79*('02_Hypotheses'!$B$63*'03_Scenario_Cycles'!$C$7+IF(assm_streamE_on=1,'02_Hypotheses'!$B$68*'03_Scenario_Cycles'!$C$7,0))</f>
        <v>0</v>
      </c>
      <c r="D12" s="29" t="n">
        <f aca="false">'02_Hypotheses'!$B$79*('02_Hypotheses'!$B$64*'03_Scenario_Cycles'!$D$7+IF(assm_streamE_on=1,'02_Hypotheses'!$B$69*'03_Scenario_Cycles'!$D$7,0))</f>
        <v>50</v>
      </c>
      <c r="E12" s="29" t="n">
        <f aca="false">'02_Hypotheses'!$B$79*('02_Hypotheses'!$B$65*'03_Scenario_Cycles'!$E$7+'02_Hypotheses'!$B$62*'03_Scenario_Cycles'!$E$8+IF(assm_streamE_on=1,'02_Hypotheses'!$B$70*'03_Scenario_Cycles'!$E$7,0)+IF(assm_streamE_on=1,'02_Hypotheses'!$B$67*'03_Scenario_Cycles'!$E$8,0))</f>
        <v>75</v>
      </c>
      <c r="F12" s="29" t="n">
        <f aca="false">'02_Hypotheses'!$B$79*('02_Hypotheses'!$B$66*'03_Scenario_Cycles'!$F$7+'02_Hypotheses'!$B$63*'03_Scenario_Cycles'!$F$8+IF(assm_streamE_on=1,'02_Hypotheses'!$B$71*'03_Scenario_Cycles'!$F$7,0)+IF(assm_streamE_on=1,'02_Hypotheses'!$B$68*'03_Scenario_Cycles'!$F$8,0))</f>
        <v>110</v>
      </c>
      <c r="G12" s="29" t="n">
        <f aca="false">'02_Hypotheses'!$B$79*('02_Hypotheses'!$B$64*'03_Scenario_Cycles'!$G$8+IF(assm_streamE_on=1,'02_Hypotheses'!$B$69*'03_Scenario_Cycles'!$G$8,0))</f>
        <v>50</v>
      </c>
      <c r="H12" s="29" t="n">
        <f aca="false">'02_Hypotheses'!$B$79*('02_Hypotheses'!$B$65*'03_Scenario_Cycles'!$H$8+'02_Hypotheses'!$B$62*'03_Scenario_Cycles'!$H$9+IF(assm_streamE_on=1,'02_Hypotheses'!$B$70*'03_Scenario_Cycles'!$H$8,0)+IF(assm_streamE_on=1,'02_Hypotheses'!$B$67*'03_Scenario_Cycles'!$H$9,0))</f>
        <v>75</v>
      </c>
      <c r="I12" s="29" t="n">
        <f aca="false">'02_Hypotheses'!$B$79*('02_Hypotheses'!$B$66*'03_Scenario_Cycles'!$I$8+'02_Hypotheses'!$B$63*'03_Scenario_Cycles'!$I$9+IF(assm_streamE_on=1,'02_Hypotheses'!$B$71*'03_Scenario_Cycles'!$I$8,0)+IF(assm_streamE_on=1,'02_Hypotheses'!$B$68*'03_Scenario_Cycles'!$I$9,0))</f>
        <v>110</v>
      </c>
      <c r="J12" s="29" t="n">
        <f aca="false">'02_Hypotheses'!$B$79*('02_Hypotheses'!$B$64*'03_Scenario_Cycles'!$J$9+IF(assm_streamE_on=1,'02_Hypotheses'!$B$69*'03_Scenario_Cycles'!$J$9,0))</f>
        <v>50</v>
      </c>
    </row>
    <row r="13" customFormat="false" ht="15" hidden="false" customHeight="false" outlineLevel="0" collapsed="false">
      <c r="A13" s="4" t="s">
        <v>201</v>
      </c>
      <c r="B13" s="29" t="n">
        <f aca="false">'02_Hypotheses'!$B$80</f>
        <v>75</v>
      </c>
      <c r="C13" s="29" t="n">
        <f aca="false">'02_Hypotheses'!$B$80</f>
        <v>75</v>
      </c>
      <c r="D13" s="29" t="n">
        <f aca="false">'02_Hypotheses'!$B$80</f>
        <v>75</v>
      </c>
      <c r="E13" s="29" t="n">
        <f aca="false">'02_Hypotheses'!$B$80</f>
        <v>75</v>
      </c>
      <c r="F13" s="29" t="n">
        <f aca="false">'02_Hypotheses'!$B$80</f>
        <v>75</v>
      </c>
      <c r="G13" s="29" t="n">
        <f aca="false">'02_Hypotheses'!$B$80</f>
        <v>75</v>
      </c>
      <c r="H13" s="29" t="n">
        <f aca="false">'02_Hypotheses'!$B$80</f>
        <v>75</v>
      </c>
      <c r="I13" s="29" t="n">
        <f aca="false">'02_Hypotheses'!$B$80</f>
        <v>75</v>
      </c>
      <c r="J13" s="29" t="n">
        <f aca="false">'02_Hypotheses'!$B$80</f>
        <v>75</v>
      </c>
    </row>
    <row r="14" customFormat="false" ht="15" hidden="false" customHeight="false" outlineLevel="0" collapsed="false">
      <c r="A14" s="30" t="s">
        <v>329</v>
      </c>
      <c r="B14" s="35" t="n">
        <f aca="false">SUM(B6:B13)</f>
        <v>695.276</v>
      </c>
      <c r="C14" s="35" t="n">
        <f aca="false">SUM(C6:C13)</f>
        <v>874.583</v>
      </c>
      <c r="D14" s="35" t="n">
        <f aca="false">SUM(D6:D13)</f>
        <v>989.785</v>
      </c>
      <c r="E14" s="35" t="n">
        <f aca="false">SUM(E6:E13)</f>
        <v>1787.382</v>
      </c>
      <c r="F14" s="35" t="n">
        <f aca="false">SUM(F6:F13)</f>
        <v>2152.583</v>
      </c>
      <c r="G14" s="35" t="n">
        <f aca="false">SUM(G6:G13)</f>
        <v>989.785</v>
      </c>
      <c r="H14" s="35" t="n">
        <f aca="false">SUM(H6:H13)</f>
        <v>1787.382</v>
      </c>
      <c r="I14" s="35" t="n">
        <f aca="false">SUM(I6:I13)</f>
        <v>2152.583</v>
      </c>
      <c r="J14" s="35" t="n">
        <f aca="false">SUM(J6:J13)</f>
        <v>989.785</v>
      </c>
    </row>
    <row r="15" customFormat="false" ht="15" hidden="false" customHeight="false" outlineLevel="0" collapsed="false">
      <c r="A15" s="4" t="s">
        <v>330</v>
      </c>
      <c r="B15" s="29" t="n">
        <f aca="false">'02_Hypotheses'!$B$81*(B14-B6)</f>
        <v>29.4956</v>
      </c>
      <c r="C15" s="29" t="n">
        <f aca="false">'02_Hypotheses'!$B$81*(C14-C6)</f>
        <v>37.4903</v>
      </c>
      <c r="D15" s="29" t="n">
        <f aca="false">'02_Hypotheses'!$B$81*(D14-D6)</f>
        <v>46.9945</v>
      </c>
      <c r="E15" s="29" t="n">
        <f aca="false">'02_Hypotheses'!$B$81*(E14-E6)</f>
        <v>75.7062</v>
      </c>
      <c r="F15" s="29" t="n">
        <f aca="false">'02_Hypotheses'!$B$81*(F14-F6)</f>
        <v>93.2903</v>
      </c>
      <c r="G15" s="29" t="n">
        <f aca="false">'02_Hypotheses'!$B$81*(G14-G6)</f>
        <v>46.9945</v>
      </c>
      <c r="H15" s="29" t="n">
        <f aca="false">'02_Hypotheses'!$B$81*(H14-H6)</f>
        <v>75.7062</v>
      </c>
      <c r="I15" s="29" t="n">
        <f aca="false">'02_Hypotheses'!$B$81*(I14-I6)</f>
        <v>93.2903</v>
      </c>
      <c r="J15" s="29" t="n">
        <f aca="false">'02_Hypotheses'!$B$81*(J14-J6)</f>
        <v>46.9945</v>
      </c>
    </row>
    <row r="16" customFormat="false" ht="15" hidden="false" customHeight="false" outlineLevel="0" collapsed="false">
      <c r="A16" s="32" t="s">
        <v>331</v>
      </c>
      <c r="B16" s="31" t="n">
        <f aca="false">B14+B15</f>
        <v>724.7716</v>
      </c>
      <c r="C16" s="31" t="n">
        <f aca="false">C14+C15</f>
        <v>912.0733</v>
      </c>
      <c r="D16" s="31" t="n">
        <f aca="false">D14+D15</f>
        <v>1036.7795</v>
      </c>
      <c r="E16" s="31" t="n">
        <f aca="false">E14+E15</f>
        <v>1863.0882</v>
      </c>
      <c r="F16" s="31" t="n">
        <f aca="false">F14+F15</f>
        <v>2245.8733</v>
      </c>
      <c r="G16" s="31" t="n">
        <f aca="false">G14+G15</f>
        <v>1036.7795</v>
      </c>
      <c r="H16" s="31" t="n">
        <f aca="false">H14+H15</f>
        <v>1863.0882</v>
      </c>
      <c r="I16" s="31" t="n">
        <f aca="false">I14+I15</f>
        <v>2245.8733</v>
      </c>
      <c r="J16" s="31" t="n">
        <f aca="false">J14+J15</f>
        <v>1036.7795</v>
      </c>
    </row>
    <row r="18" customFormat="false" ht="15" hidden="false" customHeight="false" outlineLevel="0" collapsed="false">
      <c r="A18" s="7" t="s">
        <v>332</v>
      </c>
    </row>
    <row r="19" customFormat="false" ht="15" hidden="false" customHeight="false" outlineLevel="0" collapsed="false">
      <c r="A19" s="4" t="s">
        <v>333</v>
      </c>
      <c r="B19" s="33" t="n">
        <f aca="false">'02_Hypotheses'!$B$73*'02_Hypotheses'!$B$82</f>
        <v>400.32</v>
      </c>
      <c r="C19" s="33" t="n">
        <f aca="false">'02_Hypotheses'!$B$73*'02_Hypotheses'!$B$83</f>
        <v>499.68</v>
      </c>
      <c r="D19" s="33" t="n">
        <f aca="false">'02_Hypotheses'!$B$73*'02_Hypotheses'!$B$84</f>
        <v>519.84</v>
      </c>
      <c r="E19" s="33" t="n">
        <f aca="false">'02_Hypotheses'!$B$73*'02_Hypotheses'!$B$85</f>
        <v>630</v>
      </c>
      <c r="F19" s="33" t="n">
        <f aca="false">'02_Hypotheses'!$B$73</f>
        <v>720</v>
      </c>
      <c r="G19" s="29" t="n">
        <f aca="false">0</f>
        <v>0</v>
      </c>
      <c r="H19" s="29" t="n">
        <f aca="false">0</f>
        <v>0</v>
      </c>
      <c r="I19" s="29" t="n">
        <f aca="false">0</f>
        <v>0</v>
      </c>
      <c r="J19" s="29" t="n">
        <f aca="false">0</f>
        <v>0</v>
      </c>
    </row>
    <row r="20" customFormat="false" ht="15" hidden="false" customHeight="false" outlineLevel="0" collapsed="false">
      <c r="A20" s="4" t="s">
        <v>334</v>
      </c>
      <c r="B20" s="33" t="n">
        <f aca="false">'02_Hypotheses'!$B$74</f>
        <v>10</v>
      </c>
      <c r="C20" s="33" t="n">
        <f aca="false">'02_Hypotheses'!$B$74</f>
        <v>10</v>
      </c>
      <c r="D20" s="33" t="n">
        <f aca="false">'02_Hypotheses'!$B$74</f>
        <v>10</v>
      </c>
      <c r="E20" s="33" t="n">
        <f aca="false">'02_Hypotheses'!$B$74</f>
        <v>10</v>
      </c>
      <c r="F20" s="33" t="n">
        <f aca="false">'02_Hypotheses'!$B$74</f>
        <v>10</v>
      </c>
      <c r="G20" s="29" t="n">
        <f aca="false">0</f>
        <v>0</v>
      </c>
      <c r="H20" s="29" t="n">
        <f aca="false">0</f>
        <v>0</v>
      </c>
      <c r="I20" s="29" t="n">
        <f aca="false">0</f>
        <v>0</v>
      </c>
      <c r="J20" s="29" t="n">
        <f aca="false">0</f>
        <v>0</v>
      </c>
    </row>
    <row r="21" customFormat="false" ht="15" hidden="false" customHeight="false" outlineLevel="0" collapsed="false">
      <c r="A21" s="4" t="s">
        <v>335</v>
      </c>
      <c r="B21" s="33" t="n">
        <f aca="false">'02_Hypotheses'!$B$75*'02_Hypotheses'!$B$86</f>
        <v>30</v>
      </c>
      <c r="C21" s="33" t="n">
        <f aca="false">'02_Hypotheses'!$B$75*'02_Hypotheses'!$B$87</f>
        <v>40</v>
      </c>
      <c r="D21" s="33" t="n">
        <f aca="false">'02_Hypotheses'!$B$75*'02_Hypotheses'!$B$88</f>
        <v>50</v>
      </c>
      <c r="E21" s="33" t="n">
        <f aca="false">'02_Hypotheses'!$B$75*'02_Hypotheses'!$B$89</f>
        <v>60</v>
      </c>
      <c r="F21" s="33" t="n">
        <f aca="false">'02_Hypotheses'!$B$75</f>
        <v>80</v>
      </c>
      <c r="G21" s="29" t="n">
        <f aca="false">0</f>
        <v>0</v>
      </c>
      <c r="H21" s="29" t="n">
        <f aca="false">0</f>
        <v>0</v>
      </c>
      <c r="I21" s="29" t="n">
        <f aca="false">0</f>
        <v>0</v>
      </c>
      <c r="J21" s="29" t="n">
        <f aca="false">0</f>
        <v>0</v>
      </c>
    </row>
    <row r="22" customFormat="false" ht="15" hidden="false" customHeight="false" outlineLevel="0" collapsed="false">
      <c r="A22" s="4" t="s">
        <v>336</v>
      </c>
      <c r="B22" s="33" t="n">
        <f aca="false">'02_Hypotheses'!$B$76*'02_Hypotheses'!$B$90</f>
        <v>130</v>
      </c>
      <c r="C22" s="33" t="n">
        <f aca="false">'02_Hypotheses'!$B$76*'02_Hypotheses'!$B$91</f>
        <v>179.92</v>
      </c>
      <c r="D22" s="33" t="n">
        <f aca="false">'02_Hypotheses'!$B$76*'02_Hypotheses'!$B$92</f>
        <v>199.94</v>
      </c>
      <c r="E22" s="33" t="n">
        <f aca="false">'02_Hypotheses'!$B$76*'02_Hypotheses'!$B$93</f>
        <v>230.1</v>
      </c>
      <c r="F22" s="33" t="n">
        <f aca="false">'02_Hypotheses'!$B$76</f>
        <v>260</v>
      </c>
      <c r="G22" s="29" t="n">
        <f aca="false">0</f>
        <v>0</v>
      </c>
      <c r="H22" s="29" t="n">
        <f aca="false">0</f>
        <v>0</v>
      </c>
      <c r="I22" s="29" t="n">
        <f aca="false">0</f>
        <v>0</v>
      </c>
      <c r="J22" s="29" t="n">
        <f aca="false">0</f>
        <v>0</v>
      </c>
    </row>
    <row r="23" customFormat="false" ht="15" hidden="false" customHeight="false" outlineLevel="0" collapsed="false">
      <c r="A23" s="4" t="s">
        <v>337</v>
      </c>
      <c r="B23" s="33" t="n">
        <f aca="false">'02_Hypotheses'!$B$77*'02_Hypotheses'!$B$94</f>
        <v>19.981</v>
      </c>
      <c r="C23" s="33" t="n">
        <f aca="false">'02_Hypotheses'!$B$77*'02_Hypotheses'!$B$95</f>
        <v>29.998</v>
      </c>
      <c r="D23" s="33" t="n">
        <f aca="false">'02_Hypotheses'!$B$77*'02_Hypotheses'!$B$96</f>
        <v>40.015</v>
      </c>
      <c r="E23" s="33" t="n">
        <f aca="false">'02_Hypotheses'!$B$77*'02_Hypotheses'!$B$97</f>
        <v>47.011</v>
      </c>
      <c r="F23" s="33" t="n">
        <f aca="false">'02_Hypotheses'!$B$77</f>
        <v>53</v>
      </c>
      <c r="G23" s="29" t="n">
        <f aca="false">0</f>
        <v>0</v>
      </c>
      <c r="H23" s="29" t="n">
        <f aca="false">0</f>
        <v>0</v>
      </c>
      <c r="I23" s="29" t="n">
        <f aca="false">0</f>
        <v>0</v>
      </c>
      <c r="J23" s="29" t="n">
        <f aca="false">0</f>
        <v>0</v>
      </c>
    </row>
    <row r="24" customFormat="false" ht="15" hidden="false" customHeight="false" outlineLevel="0" collapsed="false">
      <c r="A24" s="4" t="s">
        <v>338</v>
      </c>
      <c r="B24" s="33" t="n">
        <f aca="false">'02_Hypotheses'!$B$78*'02_Hypotheses'!$B$98</f>
        <v>29.975</v>
      </c>
      <c r="C24" s="33" t="n">
        <f aca="false">'02_Hypotheses'!$B$78*'02_Hypotheses'!$B$99</f>
        <v>39.985</v>
      </c>
      <c r="D24" s="33" t="n">
        <f aca="false">'02_Hypotheses'!$B$78*'02_Hypotheses'!$B$100</f>
        <v>44.99</v>
      </c>
      <c r="E24" s="33" t="n">
        <f aca="false">'02_Hypotheses'!$B$78*'02_Hypotheses'!$B$101</f>
        <v>49.995</v>
      </c>
      <c r="F24" s="33" t="n">
        <f aca="false">'02_Hypotheses'!$B$78</f>
        <v>55</v>
      </c>
      <c r="G24" s="29" t="n">
        <f aca="false">0</f>
        <v>0</v>
      </c>
      <c r="H24" s="29" t="n">
        <f aca="false">0</f>
        <v>0</v>
      </c>
      <c r="I24" s="29" t="n">
        <f aca="false">0</f>
        <v>0</v>
      </c>
      <c r="J24" s="29" t="n">
        <f aca="false">0</f>
        <v>0</v>
      </c>
    </row>
    <row r="25" customFormat="false" ht="15" hidden="false" customHeight="false" outlineLevel="0" collapsed="false">
      <c r="A25" s="4" t="s">
        <v>339</v>
      </c>
      <c r="B25" s="33" t="n">
        <f aca="false">'02_Hypotheses'!$B$79*('02_Hypotheses'!$B$62*'03_Scenario_Cycles'!$B$7+IF(assm_streamE_on=1,'02_Hypotheses'!$B$67*'03_Scenario_Cycles'!$B$7,0))</f>
        <v>0</v>
      </c>
      <c r="C25" s="33" t="n">
        <f aca="false">'02_Hypotheses'!$B$79*('02_Hypotheses'!$B$63*'03_Scenario_Cycles'!$C$7+IF(assm_streamE_on=1,'02_Hypotheses'!$B$68*'03_Scenario_Cycles'!$C$7,0))</f>
        <v>0</v>
      </c>
      <c r="D25" s="33" t="n">
        <f aca="false">'02_Hypotheses'!$B$79*('02_Hypotheses'!$B$64*'03_Scenario_Cycles'!$D$7+IF(assm_streamE_on=1,'02_Hypotheses'!$B$69*'03_Scenario_Cycles'!$D$7,0))</f>
        <v>50</v>
      </c>
      <c r="E25" s="33" t="n">
        <f aca="false">'02_Hypotheses'!$B$79*('02_Hypotheses'!$B$65*'03_Scenario_Cycles'!$E$7+IF(assm_streamE_on=1,'02_Hypotheses'!$B$70*'03_Scenario_Cycles'!$E$7,0))</f>
        <v>75</v>
      </c>
      <c r="F25" s="33" t="n">
        <f aca="false">'02_Hypotheses'!$B$79*('02_Hypotheses'!$B$66*'03_Scenario_Cycles'!$F$7+IF(assm_streamE_on=1,'02_Hypotheses'!$B$71*'03_Scenario_Cycles'!$F$7,0))</f>
        <v>110</v>
      </c>
      <c r="G25" s="29" t="n">
        <f aca="false">0</f>
        <v>0</v>
      </c>
      <c r="H25" s="29" t="n">
        <f aca="false">0</f>
        <v>0</v>
      </c>
      <c r="I25" s="29" t="n">
        <f aca="false">0</f>
        <v>0</v>
      </c>
      <c r="J25" s="29" t="n">
        <f aca="false">0</f>
        <v>0</v>
      </c>
    </row>
    <row r="26" customFormat="false" ht="15" hidden="false" customHeight="false" outlineLevel="0" collapsed="false">
      <c r="A26" s="4" t="s">
        <v>340</v>
      </c>
      <c r="B26" s="33" t="n">
        <f aca="false">'02_Hypotheses'!$B$80</f>
        <v>75</v>
      </c>
      <c r="C26" s="33" t="n">
        <f aca="false">'02_Hypotheses'!$B$80</f>
        <v>75</v>
      </c>
      <c r="D26" s="33" t="n">
        <f aca="false">'02_Hypotheses'!$B$80</f>
        <v>75</v>
      </c>
      <c r="E26" s="33" t="n">
        <f aca="false">'02_Hypotheses'!$B$80</f>
        <v>75</v>
      </c>
      <c r="F26" s="33" t="n">
        <f aca="false">'02_Hypotheses'!$B$80</f>
        <v>75</v>
      </c>
      <c r="G26" s="29" t="n">
        <f aca="false">0</f>
        <v>0</v>
      </c>
      <c r="H26" s="29" t="n">
        <f aca="false">0</f>
        <v>0</v>
      </c>
      <c r="I26" s="29" t="n">
        <f aca="false">0</f>
        <v>0</v>
      </c>
      <c r="J26" s="29" t="n">
        <f aca="false">0</f>
        <v>0</v>
      </c>
    </row>
    <row r="27" customFormat="false" ht="15" hidden="false" customHeight="false" outlineLevel="0" collapsed="false">
      <c r="A27" s="30" t="s">
        <v>341</v>
      </c>
      <c r="B27" s="35" t="n">
        <f aca="false">SUM(B19:B26)</f>
        <v>695.276</v>
      </c>
      <c r="C27" s="35" t="n">
        <f aca="false">SUM(C19:C26)</f>
        <v>874.583</v>
      </c>
      <c r="D27" s="35" t="n">
        <f aca="false">SUM(D19:D26)</f>
        <v>989.785</v>
      </c>
      <c r="E27" s="35" t="n">
        <f aca="false">SUM(E19:E26)</f>
        <v>1177.106</v>
      </c>
      <c r="F27" s="35" t="n">
        <f aca="false">SUM(F19:F26)</f>
        <v>1363</v>
      </c>
      <c r="G27" s="35" t="n">
        <f aca="false">SUM(G19:G26)</f>
        <v>0</v>
      </c>
      <c r="H27" s="35" t="n">
        <f aca="false">SUM(H19:H26)</f>
        <v>0</v>
      </c>
      <c r="I27" s="35" t="n">
        <f aca="false">SUM(I19:I26)</f>
        <v>0</v>
      </c>
      <c r="J27" s="35" t="n">
        <f aca="false">SUM(J19:J26)</f>
        <v>0</v>
      </c>
    </row>
    <row r="28" customFormat="false" ht="15" hidden="false" customHeight="false" outlineLevel="0" collapsed="false">
      <c r="A28" s="4" t="s">
        <v>342</v>
      </c>
      <c r="B28" s="29" t="n">
        <f aca="false">ROUND('02_Hypotheses'!$B$81*(B21+B22+B23+B24+B25),0)</f>
        <v>21</v>
      </c>
      <c r="C28" s="29" t="n">
        <f aca="false">ROUND('02_Hypotheses'!$B$81*(C21+C22+C23+C24+C25),0)</f>
        <v>29</v>
      </c>
      <c r="D28" s="29" t="n">
        <f aca="false">ROUND('02_Hypotheses'!$B$81*(D21+D22+D23+D24+D25),0)</f>
        <v>38</v>
      </c>
      <c r="E28" s="29" t="n">
        <f aca="false">ROUND('02_Hypotheses'!$B$81*(E21+E22+E23+E24+E25),0)</f>
        <v>46</v>
      </c>
      <c r="F28" s="29" t="n">
        <f aca="false">ROUND('02_Hypotheses'!$B$81*(F21+F22+F23+F24+F25),0)</f>
        <v>56</v>
      </c>
      <c r="G28" s="29" t="n">
        <f aca="false">ROUND('02_Hypotheses'!$B$81*(G21+G22+G23+G24+G25),0)</f>
        <v>0</v>
      </c>
      <c r="H28" s="29" t="n">
        <f aca="false">ROUND('02_Hypotheses'!$B$81*(H21+H22+H23+H24+H25),0)</f>
        <v>0</v>
      </c>
      <c r="I28" s="29" t="n">
        <f aca="false">ROUND('02_Hypotheses'!$B$81*(I21+I22+I23+I24+I25),0)</f>
        <v>0</v>
      </c>
      <c r="J28" s="29" t="n">
        <f aca="false">ROUND('02_Hypotheses'!$B$81*(J21+J22+J23+J24+J25),0)</f>
        <v>0</v>
      </c>
    </row>
    <row r="29" customFormat="false" ht="15" hidden="false" customHeight="false" outlineLevel="0" collapsed="false">
      <c r="A29" s="30" t="s">
        <v>343</v>
      </c>
      <c r="B29" s="31" t="n">
        <f aca="false">B27+B28</f>
        <v>716.276</v>
      </c>
      <c r="C29" s="31" t="n">
        <f aca="false">C27+C28</f>
        <v>903.583</v>
      </c>
      <c r="D29" s="31" t="n">
        <f aca="false">D27+D28</f>
        <v>1027.785</v>
      </c>
      <c r="E29" s="31" t="n">
        <f aca="false">E27+E28</f>
        <v>1223.106</v>
      </c>
      <c r="F29" s="31" t="n">
        <f aca="false">F27+F28</f>
        <v>1419</v>
      </c>
      <c r="G29" s="31" t="n">
        <f aca="false">G27+G28</f>
        <v>0</v>
      </c>
      <c r="H29" s="31" t="n">
        <f aca="false">H27+H28</f>
        <v>0</v>
      </c>
      <c r="I29" s="31" t="n">
        <f aca="false">I27+I28</f>
        <v>0</v>
      </c>
      <c r="J29" s="31" t="n">
        <f aca="false">J27+J28</f>
        <v>0</v>
      </c>
    </row>
    <row r="31" customFormat="false" ht="15" hidden="false" customHeight="false" outlineLevel="0" collapsed="false">
      <c r="A31" s="7" t="s">
        <v>344</v>
      </c>
    </row>
    <row r="32" customFormat="false" ht="15" hidden="false" customHeight="false" outlineLevel="0" collapsed="false">
      <c r="A32" s="4" t="s">
        <v>345</v>
      </c>
      <c r="B32" s="29" t="n">
        <f aca="false">'02_Hypotheses'!$B$73*'02_Hypotheses'!$B$82</f>
        <v>400.32</v>
      </c>
      <c r="C32" s="29" t="n">
        <f aca="false">'02_Hypotheses'!$B$73*'02_Hypotheses'!$B$83</f>
        <v>499.68</v>
      </c>
      <c r="D32" s="29" t="n">
        <f aca="false">'02_Hypotheses'!$B$73*'02_Hypotheses'!$B$84</f>
        <v>519.84</v>
      </c>
      <c r="E32" s="29" t="n">
        <f aca="false">'02_Hypotheses'!$B$73*'02_Hypotheses'!$B$85</f>
        <v>630</v>
      </c>
      <c r="F32" s="29" t="n">
        <f aca="false">'02_Hypotheses'!$B$73</f>
        <v>720</v>
      </c>
      <c r="G32" s="29" t="n">
        <f aca="false">0</f>
        <v>0</v>
      </c>
      <c r="H32" s="29" t="n">
        <f aca="false">0</f>
        <v>0</v>
      </c>
      <c r="I32" s="29" t="n">
        <f aca="false">0</f>
        <v>0</v>
      </c>
      <c r="J32" s="29" t="n">
        <f aca="false">0</f>
        <v>0</v>
      </c>
    </row>
    <row r="33" customFormat="false" ht="15" hidden="false" customHeight="false" outlineLevel="0" collapsed="false">
      <c r="A33" s="4" t="s">
        <v>346</v>
      </c>
      <c r="B33" s="29" t="n">
        <f aca="false">'02_Hypotheses'!$B$74</f>
        <v>10</v>
      </c>
      <c r="C33" s="29" t="n">
        <f aca="false">'02_Hypotheses'!$B$74</f>
        <v>10</v>
      </c>
      <c r="D33" s="29" t="n">
        <f aca="false">'02_Hypotheses'!$B$74</f>
        <v>10</v>
      </c>
      <c r="E33" s="29" t="n">
        <f aca="false">'02_Hypotheses'!$B$74</f>
        <v>10</v>
      </c>
      <c r="F33" s="29" t="n">
        <f aca="false">'02_Hypotheses'!$B$74</f>
        <v>10</v>
      </c>
      <c r="G33" s="29" t="n">
        <f aca="false">0</f>
        <v>0</v>
      </c>
      <c r="H33" s="29" t="n">
        <f aca="false">0</f>
        <v>0</v>
      </c>
      <c r="I33" s="29" t="n">
        <f aca="false">0</f>
        <v>0</v>
      </c>
      <c r="J33" s="29" t="n">
        <f aca="false">0</f>
        <v>0</v>
      </c>
    </row>
    <row r="34" customFormat="false" ht="15" hidden="false" customHeight="false" outlineLevel="0" collapsed="false">
      <c r="A34" s="4" t="s">
        <v>347</v>
      </c>
      <c r="B34" s="29" t="n">
        <f aca="false">'02_Hypotheses'!$B$75*'02_Hypotheses'!$B$86</f>
        <v>30</v>
      </c>
      <c r="C34" s="29" t="n">
        <f aca="false">'02_Hypotheses'!$B$75*'02_Hypotheses'!$B$87</f>
        <v>40</v>
      </c>
      <c r="D34" s="29" t="n">
        <f aca="false">'02_Hypotheses'!$B$75*'02_Hypotheses'!$B$88</f>
        <v>50</v>
      </c>
      <c r="E34" s="29" t="n">
        <f aca="false">'02_Hypotheses'!$B$75*'02_Hypotheses'!$B$89</f>
        <v>60</v>
      </c>
      <c r="F34" s="29" t="n">
        <f aca="false">'02_Hypotheses'!$B$75</f>
        <v>80</v>
      </c>
      <c r="G34" s="29" t="n">
        <f aca="false">0</f>
        <v>0</v>
      </c>
      <c r="H34" s="29" t="n">
        <f aca="false">0</f>
        <v>0</v>
      </c>
      <c r="I34" s="29" t="n">
        <f aca="false">0</f>
        <v>0</v>
      </c>
      <c r="J34" s="29" t="n">
        <f aca="false">0</f>
        <v>0</v>
      </c>
    </row>
    <row r="35" customFormat="false" ht="15" hidden="false" customHeight="false" outlineLevel="0" collapsed="false">
      <c r="A35" s="4" t="s">
        <v>348</v>
      </c>
      <c r="B35" s="29" t="n">
        <f aca="false">'02_Hypotheses'!$B$76*'02_Hypotheses'!$B$90</f>
        <v>130</v>
      </c>
      <c r="C35" s="29" t="n">
        <f aca="false">'02_Hypotheses'!$B$76*'02_Hypotheses'!$B$91</f>
        <v>179.92</v>
      </c>
      <c r="D35" s="29" t="n">
        <f aca="false">'02_Hypotheses'!$B$76*'02_Hypotheses'!$B$92</f>
        <v>199.94</v>
      </c>
      <c r="E35" s="29" t="n">
        <f aca="false">'02_Hypotheses'!$B$76*'02_Hypotheses'!$B$93</f>
        <v>230.1</v>
      </c>
      <c r="F35" s="29" t="n">
        <f aca="false">'02_Hypotheses'!$B$76</f>
        <v>260</v>
      </c>
      <c r="G35" s="29" t="n">
        <f aca="false">0</f>
        <v>0</v>
      </c>
      <c r="H35" s="29" t="n">
        <f aca="false">0</f>
        <v>0</v>
      </c>
      <c r="I35" s="29" t="n">
        <f aca="false">0</f>
        <v>0</v>
      </c>
      <c r="J35" s="29" t="n">
        <f aca="false">0</f>
        <v>0</v>
      </c>
    </row>
    <row r="36" customFormat="false" ht="15" hidden="false" customHeight="false" outlineLevel="0" collapsed="false">
      <c r="A36" s="4" t="s">
        <v>349</v>
      </c>
      <c r="B36" s="29" t="n">
        <f aca="false">'02_Hypotheses'!$B$77*'02_Hypotheses'!$B$94</f>
        <v>19.981</v>
      </c>
      <c r="C36" s="29" t="n">
        <f aca="false">'02_Hypotheses'!$B$77*'02_Hypotheses'!$B$95</f>
        <v>29.998</v>
      </c>
      <c r="D36" s="29" t="n">
        <f aca="false">'02_Hypotheses'!$B$77*'02_Hypotheses'!$B$96</f>
        <v>40.015</v>
      </c>
      <c r="E36" s="29" t="n">
        <f aca="false">'02_Hypotheses'!$B$77*'02_Hypotheses'!$B$97</f>
        <v>47.011</v>
      </c>
      <c r="F36" s="29" t="n">
        <f aca="false">'02_Hypotheses'!$B$77</f>
        <v>53</v>
      </c>
      <c r="G36" s="29" t="n">
        <f aca="false">0</f>
        <v>0</v>
      </c>
      <c r="H36" s="29" t="n">
        <f aca="false">0</f>
        <v>0</v>
      </c>
      <c r="I36" s="29" t="n">
        <f aca="false">0</f>
        <v>0</v>
      </c>
      <c r="J36" s="29" t="n">
        <f aca="false">0</f>
        <v>0</v>
      </c>
    </row>
    <row r="37" customFormat="false" ht="15" hidden="false" customHeight="false" outlineLevel="0" collapsed="false">
      <c r="A37" s="4" t="s">
        <v>350</v>
      </c>
      <c r="B37" s="29" t="n">
        <f aca="false">'02_Hypotheses'!$B$78*'02_Hypotheses'!$B$98</f>
        <v>29.975</v>
      </c>
      <c r="C37" s="29" t="n">
        <f aca="false">'02_Hypotheses'!$B$78*'02_Hypotheses'!$B$99</f>
        <v>39.985</v>
      </c>
      <c r="D37" s="29" t="n">
        <f aca="false">'02_Hypotheses'!$B$78*'02_Hypotheses'!$B$100</f>
        <v>44.99</v>
      </c>
      <c r="E37" s="29" t="n">
        <f aca="false">'02_Hypotheses'!$B$78*'02_Hypotheses'!$B$101</f>
        <v>49.995</v>
      </c>
      <c r="F37" s="29" t="n">
        <f aca="false">'02_Hypotheses'!$B$78</f>
        <v>55</v>
      </c>
      <c r="G37" s="29" t="n">
        <f aca="false">0</f>
        <v>0</v>
      </c>
      <c r="H37" s="29" t="n">
        <f aca="false">0</f>
        <v>0</v>
      </c>
      <c r="I37" s="29" t="n">
        <f aca="false">0</f>
        <v>0</v>
      </c>
      <c r="J37" s="29" t="n">
        <f aca="false">0</f>
        <v>0</v>
      </c>
    </row>
    <row r="38" customFormat="false" ht="15" hidden="false" customHeight="false" outlineLevel="0" collapsed="false">
      <c r="A38" s="4" t="s">
        <v>351</v>
      </c>
      <c r="B38" s="29" t="n">
        <f aca="false">'02_Hypotheses'!$B$79*('02_Hypotheses'!$B$62*'03_Scenario_Cycles'!$B$7+'02_Hypotheses'!$B$67*'03_Scenario_Cycles'!$B$7)</f>
        <v>0</v>
      </c>
      <c r="C38" s="29" t="n">
        <f aca="false">'02_Hypotheses'!$B$79*('02_Hypotheses'!$B$63*'03_Scenario_Cycles'!$C$7+'02_Hypotheses'!$B$68*'03_Scenario_Cycles'!$C$7)</f>
        <v>2.5</v>
      </c>
      <c r="D38" s="29" t="n">
        <f aca="false">'02_Hypotheses'!$B$79*('02_Hypotheses'!$B$64*'03_Scenario_Cycles'!$D$7+'02_Hypotheses'!$B$69*'03_Scenario_Cycles'!$D$7)</f>
        <v>58.75</v>
      </c>
      <c r="E38" s="29" t="n">
        <f aca="false">'02_Hypotheses'!$B$79*('02_Hypotheses'!$B$65*'03_Scenario_Cycles'!$E$7+'02_Hypotheses'!$B$70*'03_Scenario_Cycles'!$E$7)</f>
        <v>97.5</v>
      </c>
      <c r="F38" s="29" t="n">
        <f aca="false">'02_Hypotheses'!$B$79*('02_Hypotheses'!$B$66*'03_Scenario_Cycles'!$F$7+'02_Hypotheses'!$B$71*'03_Scenario_Cycles'!$F$7)</f>
        <v>235</v>
      </c>
      <c r="G38" s="29" t="n">
        <f aca="false">0</f>
        <v>0</v>
      </c>
      <c r="H38" s="29" t="n">
        <f aca="false">0</f>
        <v>0</v>
      </c>
      <c r="I38" s="29" t="n">
        <f aca="false">0</f>
        <v>0</v>
      </c>
      <c r="J38" s="29" t="n">
        <f aca="false">0</f>
        <v>0</v>
      </c>
    </row>
    <row r="39" customFormat="false" ht="15" hidden="false" customHeight="false" outlineLevel="0" collapsed="false">
      <c r="A39" s="4" t="s">
        <v>352</v>
      </c>
      <c r="B39" s="29" t="n">
        <f aca="false">'02_Hypotheses'!$B$80</f>
        <v>75</v>
      </c>
      <c r="C39" s="29" t="n">
        <f aca="false">'02_Hypotheses'!$B$80</f>
        <v>75</v>
      </c>
      <c r="D39" s="29" t="n">
        <f aca="false">'02_Hypotheses'!$B$80</f>
        <v>75</v>
      </c>
      <c r="E39" s="29" t="n">
        <f aca="false">'02_Hypotheses'!$B$80</f>
        <v>75</v>
      </c>
      <c r="F39" s="29" t="n">
        <f aca="false">'02_Hypotheses'!$B$80</f>
        <v>75</v>
      </c>
      <c r="G39" s="29" t="n">
        <f aca="false">0</f>
        <v>0</v>
      </c>
      <c r="H39" s="29" t="n">
        <f aca="false">0</f>
        <v>0</v>
      </c>
      <c r="I39" s="29" t="n">
        <f aca="false">0</f>
        <v>0</v>
      </c>
      <c r="J39" s="29" t="n">
        <f aca="false">0</f>
        <v>0</v>
      </c>
    </row>
    <row r="40" customFormat="false" ht="15" hidden="false" customHeight="false" outlineLevel="0" collapsed="false">
      <c r="A40" s="30" t="s">
        <v>353</v>
      </c>
      <c r="B40" s="35" t="n">
        <f aca="false">SUM(B32:B39)</f>
        <v>695.276</v>
      </c>
      <c r="C40" s="35" t="n">
        <f aca="false">SUM(C32:C39)</f>
        <v>877.083</v>
      </c>
      <c r="D40" s="35" t="n">
        <f aca="false">SUM(D32:D39)</f>
        <v>998.535</v>
      </c>
      <c r="E40" s="35" t="n">
        <f aca="false">SUM(E32:E39)</f>
        <v>1199.606</v>
      </c>
      <c r="F40" s="35" t="n">
        <f aca="false">SUM(F32:F39)</f>
        <v>1488</v>
      </c>
      <c r="G40" s="35" t="n">
        <f aca="false">SUM(G32:G39)</f>
        <v>0</v>
      </c>
      <c r="H40" s="35" t="n">
        <f aca="false">SUM(H32:H39)</f>
        <v>0</v>
      </c>
      <c r="I40" s="35" t="n">
        <f aca="false">SUM(I32:I39)</f>
        <v>0</v>
      </c>
      <c r="J40" s="35" t="n">
        <f aca="false">SUM(J32:J39)</f>
        <v>0</v>
      </c>
    </row>
    <row r="41" customFormat="false" ht="15" hidden="false" customHeight="false" outlineLevel="0" collapsed="false">
      <c r="A41" s="4" t="s">
        <v>354</v>
      </c>
      <c r="B41" s="29" t="n">
        <f aca="false">ROUND('02_Hypotheses'!$B$81*(B34+B35+B36+B37+B38),0)</f>
        <v>21</v>
      </c>
      <c r="C41" s="29" t="n">
        <f aca="false">ROUND('02_Hypotheses'!$B$81*(C34+C35+C36+C37+C38),0)</f>
        <v>29</v>
      </c>
      <c r="D41" s="29" t="n">
        <f aca="false">ROUND('02_Hypotheses'!$B$81*(D34+D35+D36+D37+D38),0)</f>
        <v>39</v>
      </c>
      <c r="E41" s="29" t="n">
        <f aca="false">ROUND('02_Hypotheses'!$B$81*(E34+E35+E36+E37+E38),0)</f>
        <v>48</v>
      </c>
      <c r="F41" s="29" t="n">
        <f aca="false">ROUND('02_Hypotheses'!$B$81*(F34+F35+F36+F37+F38),0)</f>
        <v>68</v>
      </c>
      <c r="G41" s="29" t="n">
        <f aca="false">ROUND('02_Hypotheses'!$B$81*(G34+G35+G36+G37+G38),0)</f>
        <v>0</v>
      </c>
      <c r="H41" s="29" t="n">
        <f aca="false">ROUND('02_Hypotheses'!$B$81*(H34+H35+H36+H37+H38),0)</f>
        <v>0</v>
      </c>
      <c r="I41" s="29" t="n">
        <f aca="false">ROUND('02_Hypotheses'!$B$81*(I34+I35+I36+I37+I38),0)</f>
        <v>0</v>
      </c>
      <c r="J41" s="29" t="n">
        <f aca="false">ROUND('02_Hypotheses'!$B$81*(J34+J35+J36+J37+J38),0)</f>
        <v>0</v>
      </c>
    </row>
    <row r="42" customFormat="false" ht="15" hidden="false" customHeight="false" outlineLevel="0" collapsed="false">
      <c r="A42" s="30" t="s">
        <v>355</v>
      </c>
      <c r="B42" s="34" t="n">
        <f aca="false">B40+B41</f>
        <v>716.276</v>
      </c>
      <c r="C42" s="34" t="n">
        <f aca="false">C40+C41</f>
        <v>906.083</v>
      </c>
      <c r="D42" s="34" t="n">
        <f aca="false">D40+D41</f>
        <v>1037.535</v>
      </c>
      <c r="E42" s="34" t="n">
        <f aca="false">E40+E41</f>
        <v>1247.606</v>
      </c>
      <c r="F42" s="34" t="n">
        <f aca="false">F40+F41</f>
        <v>1556</v>
      </c>
      <c r="G42" s="34" t="n">
        <f aca="false">G40+G41</f>
        <v>0</v>
      </c>
      <c r="H42" s="34" t="n">
        <f aca="false">H40+H41</f>
        <v>0</v>
      </c>
      <c r="I42" s="34" t="n">
        <f aca="false">I40+I41</f>
        <v>0</v>
      </c>
      <c r="J42" s="34" t="n">
        <f aca="false">J40+J41</f>
        <v>0</v>
      </c>
      <c r="K42" s="17" t="s">
        <v>356</v>
      </c>
    </row>
    <row r="44" customFormat="false" ht="15" hidden="false" customHeight="false" outlineLevel="0" collapsed="false">
      <c r="A44" s="4" t="s">
        <v>357</v>
      </c>
      <c r="B44" s="33" t="n">
        <f aca="false">'02_Hypotheses'!$B$73*'02_Hypotheses'!$B$82</f>
        <v>400.32</v>
      </c>
      <c r="C44" s="33" t="n">
        <f aca="false">'02_Hypotheses'!$B$73*'02_Hypotheses'!$B$83</f>
        <v>499.68</v>
      </c>
      <c r="D44" s="33" t="n">
        <f aca="false">'02_Hypotheses'!$B$73*'02_Hypotheses'!$B$84</f>
        <v>519.84</v>
      </c>
      <c r="E44" s="33" t="n">
        <f aca="false">'02_Hypotheses'!$B$73*'02_Hypotheses'!$B$85</f>
        <v>630</v>
      </c>
      <c r="F44" s="33" t="n">
        <f aca="false">'02_Hypotheses'!$B$73</f>
        <v>720</v>
      </c>
      <c r="G44" s="29" t="n">
        <f aca="false">0</f>
        <v>0</v>
      </c>
      <c r="H44" s="29" t="n">
        <f aca="false">0</f>
        <v>0</v>
      </c>
      <c r="I44" s="29" t="n">
        <f aca="false">0</f>
        <v>0</v>
      </c>
      <c r="J44" s="29" t="n">
        <f aca="false">0</f>
        <v>0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358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359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4" t="s">
        <v>360</v>
      </c>
      <c r="B6" s="33" t="n">
        <f aca="false">'05_Opex'!$B$6</f>
        <v>400.32</v>
      </c>
      <c r="C6" s="33" t="n">
        <f aca="false">'05_Opex'!$C$6</f>
        <v>499.68</v>
      </c>
      <c r="D6" s="33" t="n">
        <f aca="false">'05_Opex'!$D$6</f>
        <v>519.84</v>
      </c>
      <c r="E6" s="33" t="n">
        <f aca="false">'05_Opex'!$E$6</f>
        <v>1030.32</v>
      </c>
      <c r="F6" s="33" t="n">
        <f aca="false">'05_Opex'!$F$6</f>
        <v>1219.68</v>
      </c>
      <c r="G6" s="33" t="n">
        <f aca="false">'05_Opex'!$G$6</f>
        <v>519.84</v>
      </c>
      <c r="H6" s="33" t="n">
        <f aca="false">'05_Opex'!$H$6</f>
        <v>1030.32</v>
      </c>
      <c r="I6" s="33" t="n">
        <f aca="false">'05_Opex'!$I$6</f>
        <v>1219.68</v>
      </c>
      <c r="J6" s="33" t="n">
        <f aca="false">'05_Opex'!$J$6</f>
        <v>519.84</v>
      </c>
    </row>
    <row r="7" customFormat="false" ht="15" hidden="false" customHeight="false" outlineLevel="0" collapsed="false">
      <c r="A7" s="30" t="s">
        <v>361</v>
      </c>
      <c r="B7" s="31" t="n">
        <f aca="false">B6*(1+assm_exec_margin)</f>
        <v>460.368</v>
      </c>
      <c r="C7" s="31" t="n">
        <f aca="false">C6*(1+assm_exec_margin)</f>
        <v>574.632</v>
      </c>
      <c r="D7" s="31" t="n">
        <f aca="false">D6*(1+assm_exec_margin)</f>
        <v>597.816</v>
      </c>
      <c r="E7" s="31" t="n">
        <f aca="false">E6*(1+assm_exec_margin)</f>
        <v>1184.868</v>
      </c>
      <c r="F7" s="31" t="n">
        <f aca="false">F6*(1+assm_exec_margin)</f>
        <v>1402.632</v>
      </c>
      <c r="G7" s="31" t="n">
        <f aca="false">G6*(1+assm_exec_margin)</f>
        <v>597.816</v>
      </c>
      <c r="H7" s="31" t="n">
        <f aca="false">H6*(1+assm_exec_margin)</f>
        <v>1184.868</v>
      </c>
      <c r="I7" s="31" t="n">
        <f aca="false">I6*(1+assm_exec_margin)</f>
        <v>1402.632</v>
      </c>
      <c r="J7" s="31" t="n">
        <f aca="false">J6*(1+assm_exec_margin)</f>
        <v>597.816</v>
      </c>
    </row>
    <row r="8" customFormat="false" ht="15" hidden="false" customHeight="false" outlineLevel="0" collapsed="false">
      <c r="A8" s="4" t="s">
        <v>362</v>
      </c>
      <c r="B8" s="33" t="n">
        <f aca="false">'05_Opex'!$B$44</f>
        <v>400.32</v>
      </c>
      <c r="C8" s="33" t="n">
        <f aca="false">'05_Opex'!$C$44</f>
        <v>499.68</v>
      </c>
      <c r="D8" s="33" t="n">
        <f aca="false">'05_Opex'!$D$44</f>
        <v>519.84</v>
      </c>
      <c r="E8" s="33" t="n">
        <f aca="false">'05_Opex'!$E$44</f>
        <v>630</v>
      </c>
      <c r="F8" s="33" t="n">
        <f aca="false">'05_Opex'!$F$44</f>
        <v>720</v>
      </c>
      <c r="G8" s="29" t="n">
        <f aca="false">0</f>
        <v>0</v>
      </c>
      <c r="H8" s="29" t="n">
        <f aca="false">0</f>
        <v>0</v>
      </c>
      <c r="I8" s="29" t="n">
        <f aca="false">0</f>
        <v>0</v>
      </c>
      <c r="J8" s="29" t="n">
        <f aca="false">0</f>
        <v>0</v>
      </c>
    </row>
    <row r="9" customFormat="false" ht="15" hidden="false" customHeight="false" outlineLevel="0" collapsed="false">
      <c r="A9" s="30" t="s">
        <v>363</v>
      </c>
      <c r="B9" s="34" t="n">
        <f aca="false">B8*(1+assm_exec_margin)</f>
        <v>460.368</v>
      </c>
      <c r="C9" s="34" t="n">
        <f aca="false">C8*(1+assm_exec_margin)</f>
        <v>574.632</v>
      </c>
      <c r="D9" s="34" t="n">
        <f aca="false">D8*(1+assm_exec_margin)</f>
        <v>597.816</v>
      </c>
      <c r="E9" s="34" t="n">
        <f aca="false">E8*(1+assm_exec_margin)</f>
        <v>724.5</v>
      </c>
      <c r="F9" s="34" t="n">
        <f aca="false">F8*(1+assm_exec_margin)</f>
        <v>828</v>
      </c>
      <c r="G9" s="34" t="n">
        <f aca="false">G8*(1+assm_exec_margin)</f>
        <v>0</v>
      </c>
      <c r="H9" s="34" t="n">
        <f aca="false">H8*(1+assm_exec_margin)</f>
        <v>0</v>
      </c>
      <c r="I9" s="34" t="n">
        <f aca="false">I8*(1+assm_exec_margin)</f>
        <v>0</v>
      </c>
      <c r="J9" s="34" t="n">
        <f aca="false">J8*(1+assm_exec_margin)</f>
        <v>0</v>
      </c>
    </row>
    <row r="10" customFormat="false" ht="15" hidden="false" customHeight="false" outlineLevel="0" collapsed="false">
      <c r="A10" s="4" t="s">
        <v>364</v>
      </c>
      <c r="B10" s="29" t="n">
        <f aca="false">ROUND(assm_redevance_rate*'04_Revenus'!$B$43*CHOOSE(assm_streamC_assiette,0.33,0.7,0.15),0)</f>
        <v>0</v>
      </c>
      <c r="C10" s="29" t="n">
        <f aca="false">ROUND(assm_redevance_rate*'04_Revenus'!$C$43*CHOOSE(assm_streamC_assiette,0.33,0.7,0.15),0)</f>
        <v>5</v>
      </c>
      <c r="D10" s="29" t="n">
        <f aca="false">ROUND(assm_redevance_rate*'04_Revenus'!$D$43*CHOOSE(assm_streamC_assiette,0.33,0.7,0.15),0)</f>
        <v>12</v>
      </c>
      <c r="E10" s="29" t="n">
        <f aca="false">ROUND(assm_redevance_rate*'04_Revenus'!$E$43*CHOOSE(assm_streamC_assiette,0.33,0.7,0.15),0)</f>
        <v>22</v>
      </c>
      <c r="F10" s="29" t="n">
        <f aca="false">ROUND(assm_redevance_rate*'04_Revenus'!$F$43*CHOOSE(assm_streamC_assiette,0.33,0.7,0.15),0)</f>
        <v>136</v>
      </c>
      <c r="G10" s="29" t="n">
        <f aca="false">ROUND(assm_redevance_rate*'04_Revenus'!$G$43*CHOOSE(assm_streamC_assiette,0.33,0.7,0.15),0)</f>
        <v>0</v>
      </c>
      <c r="H10" s="29" t="n">
        <f aca="false">ROUND(assm_redevance_rate*'04_Revenus'!$H$43*CHOOSE(assm_streamC_assiette,0.33,0.7,0.15),0)</f>
        <v>0</v>
      </c>
      <c r="I10" s="29" t="n">
        <f aca="false">ROUND(assm_redevance_rate*'04_Revenus'!$I$43*CHOOSE(assm_streamC_assiette,0.33,0.7,0.15),0)</f>
        <v>0</v>
      </c>
      <c r="J10" s="29" t="n">
        <f aca="false">ROUND(assm_redevance_rate*'04_Revenus'!$J$43*CHOOSE(assm_streamC_assiette,0.33,0.7,0.15),0)</f>
        <v>0</v>
      </c>
    </row>
    <row r="11" customFormat="false" ht="15" hidden="false" customHeight="false" outlineLevel="0" collapsed="false">
      <c r="A11" s="36" t="s">
        <v>365</v>
      </c>
      <c r="B11" s="37" t="n">
        <f aca="false">assm_affermage_rate*'04_Revenus'!$B$43</f>
        <v>0</v>
      </c>
      <c r="C11" s="37" t="n">
        <f aca="false">assm_affermage_rate*'04_Revenus'!$C$43</f>
        <v>6</v>
      </c>
      <c r="D11" s="37" t="n">
        <f aca="false">assm_affermage_rate*'04_Revenus'!$D$43</f>
        <v>15</v>
      </c>
      <c r="E11" s="37" t="n">
        <f aca="false">assm_affermage_rate*'04_Revenus'!$E$43</f>
        <v>27</v>
      </c>
      <c r="F11" s="37" t="n">
        <f aca="false">assm_affermage_rate*'04_Revenus'!$F$43</f>
        <v>165</v>
      </c>
      <c r="G11" s="37" t="n">
        <f aca="false">assm_affermage_rate*'04_Revenus'!$G$43</f>
        <v>0</v>
      </c>
      <c r="H11" s="37" t="n">
        <f aca="false">assm_affermage_rate*'04_Revenus'!$H$43</f>
        <v>0</v>
      </c>
      <c r="I11" s="37" t="n">
        <f aca="false">assm_affermage_rate*'04_Revenus'!$I$43</f>
        <v>0</v>
      </c>
      <c r="J11" s="37" t="n">
        <f aca="false">assm_affermage_rate*'04_Revenus'!$J$43</f>
        <v>0</v>
      </c>
    </row>
    <row r="13" customFormat="false" ht="15" hidden="false" customHeight="false" outlineLevel="0" collapsed="false">
      <c r="A13" s="7" t="s">
        <v>366</v>
      </c>
    </row>
    <row r="14" customFormat="false" ht="15" hidden="false" customHeight="false" outlineLevel="0" collapsed="false">
      <c r="A14" s="30" t="s">
        <v>367</v>
      </c>
      <c r="B14" s="34" t="n">
        <f aca="false">B7</f>
        <v>460.368</v>
      </c>
      <c r="C14" s="34" t="n">
        <f aca="false">C7</f>
        <v>574.632</v>
      </c>
      <c r="D14" s="34" t="n">
        <f aca="false">D7</f>
        <v>597.816</v>
      </c>
      <c r="E14" s="29" t="n">
        <f aca="false">0</f>
        <v>0</v>
      </c>
      <c r="F14" s="29" t="n">
        <f aca="false">0</f>
        <v>0</v>
      </c>
      <c r="G14" s="29" t="n">
        <f aca="false">0</f>
        <v>0</v>
      </c>
      <c r="H14" s="29" t="n">
        <f aca="false">0</f>
        <v>0</v>
      </c>
      <c r="I14" s="29" t="n">
        <f aca="false">0</f>
        <v>0</v>
      </c>
      <c r="J14" s="29" t="n">
        <f aca="false">0</f>
        <v>0</v>
      </c>
    </row>
    <row r="15" customFormat="false" ht="15" hidden="false" customHeight="false" outlineLevel="0" collapsed="false">
      <c r="A15" s="30" t="s">
        <v>368</v>
      </c>
      <c r="B15" s="29" t="n">
        <f aca="false">0</f>
        <v>0</v>
      </c>
      <c r="C15" s="29" t="n">
        <f aca="false">0</f>
        <v>0</v>
      </c>
      <c r="D15" s="29" t="n">
        <f aca="false">0</f>
        <v>0</v>
      </c>
      <c r="E15" s="34" t="n">
        <f aca="false">E9</f>
        <v>724.5</v>
      </c>
      <c r="F15" s="34" t="n">
        <f aca="false">F9</f>
        <v>828</v>
      </c>
      <c r="G15" s="29" t="n">
        <f aca="false">0</f>
        <v>0</v>
      </c>
      <c r="H15" s="29" t="n">
        <f aca="false">0</f>
        <v>0</v>
      </c>
      <c r="I15" s="29" t="n">
        <f aca="false">0</f>
        <v>0</v>
      </c>
      <c r="J15" s="29" t="n">
        <f aca="false">0</f>
        <v>0</v>
      </c>
    </row>
    <row r="17" customFormat="false" ht="15" hidden="false" customHeight="false" outlineLevel="0" collapsed="false">
      <c r="A17" s="17" t="s">
        <v>369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A75"/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370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371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4" t="s">
        <v>372</v>
      </c>
      <c r="B6" s="29" t="n">
        <f aca="false">'04_Revenus'!$B$47</f>
        <v>0</v>
      </c>
      <c r="C6" s="29" t="n">
        <f aca="false">'04_Revenus'!$C$47</f>
        <v>375</v>
      </c>
      <c r="D6" s="29" t="n">
        <f aca="false">'04_Revenus'!$D$47</f>
        <v>2000</v>
      </c>
      <c r="E6" s="29" t="n">
        <f aca="false">'04_Revenus'!$E$47</f>
        <v>3450</v>
      </c>
      <c r="F6" s="29" t="n">
        <f aca="false">'04_Revenus'!$F$47</f>
        <v>7450</v>
      </c>
      <c r="G6" s="29" t="n">
        <f aca="false">'04_Revenus'!$G$47</f>
        <v>0</v>
      </c>
      <c r="H6" s="29" t="n">
        <f aca="false">'04_Revenus'!$H$47</f>
        <v>0</v>
      </c>
      <c r="I6" s="29" t="n">
        <f aca="false">'04_Revenus'!$I$47</f>
        <v>0</v>
      </c>
      <c r="J6" s="29" t="n">
        <f aca="false">'04_Revenus'!$J$47</f>
        <v>0</v>
      </c>
    </row>
    <row r="7" customFormat="false" ht="15" hidden="false" customHeight="false" outlineLevel="0" collapsed="false">
      <c r="A7" s="4" t="s">
        <v>373</v>
      </c>
      <c r="B7" s="29" t="n">
        <f aca="false">'05_Opex'!$B$42</f>
        <v>716.276</v>
      </c>
      <c r="C7" s="29" t="n">
        <f aca="false">'05_Opex'!$C$42</f>
        <v>906.083</v>
      </c>
      <c r="D7" s="29" t="n">
        <f aca="false">'05_Opex'!$D$42</f>
        <v>1037.535</v>
      </c>
      <c r="E7" s="29" t="n">
        <f aca="false">'05_Opex'!$E$42</f>
        <v>1247.606</v>
      </c>
      <c r="F7" s="29" t="n">
        <f aca="false">'05_Opex'!$F$42</f>
        <v>1556</v>
      </c>
      <c r="G7" s="29" t="n">
        <f aca="false">'05_Opex'!$G$42</f>
        <v>0</v>
      </c>
      <c r="H7" s="29" t="n">
        <f aca="false">'05_Opex'!$H$42</f>
        <v>0</v>
      </c>
      <c r="I7" s="29" t="n">
        <f aca="false">'05_Opex'!$I$42</f>
        <v>0</v>
      </c>
      <c r="J7" s="29" t="n">
        <f aca="false">'05_Opex'!$J$42</f>
        <v>0</v>
      </c>
    </row>
    <row r="8" customFormat="false" ht="15" hidden="false" customHeight="false" outlineLevel="0" collapsed="false">
      <c r="A8" s="4" t="s">
        <v>374</v>
      </c>
      <c r="B8" s="29" t="n">
        <f aca="false">'06_Inter_company'!$B$10</f>
        <v>0</v>
      </c>
      <c r="C8" s="29" t="n">
        <f aca="false">'06_Inter_company'!$C$10</f>
        <v>5</v>
      </c>
      <c r="D8" s="29" t="n">
        <f aca="false">'06_Inter_company'!$D$10</f>
        <v>12</v>
      </c>
      <c r="E8" s="29" t="n">
        <f aca="false">'06_Inter_company'!$E$10</f>
        <v>22</v>
      </c>
      <c r="F8" s="29" t="n">
        <f aca="false">'06_Inter_company'!$F$10</f>
        <v>136</v>
      </c>
      <c r="G8" s="29" t="n">
        <f aca="false">'06_Inter_company'!$G$10</f>
        <v>0</v>
      </c>
      <c r="H8" s="29" t="n">
        <f aca="false">'06_Inter_company'!$H$10</f>
        <v>0</v>
      </c>
      <c r="I8" s="29" t="n">
        <f aca="false">'06_Inter_company'!$I$10</f>
        <v>0</v>
      </c>
      <c r="J8" s="29" t="n">
        <f aca="false">'06_Inter_company'!$J$10</f>
        <v>0</v>
      </c>
    </row>
    <row r="9" customFormat="false" ht="15" hidden="false" customHeight="false" outlineLevel="0" collapsed="false">
      <c r="A9" s="32" t="s">
        <v>375</v>
      </c>
      <c r="B9" s="29" t="n">
        <f aca="false">B6-B7-B8</f>
        <v>-716.276</v>
      </c>
      <c r="C9" s="29" t="n">
        <f aca="false">C6-C7-C8</f>
        <v>-536.083</v>
      </c>
      <c r="D9" s="29" t="n">
        <f aca="false">D6-D7-D8</f>
        <v>950.465</v>
      </c>
      <c r="E9" s="29" t="n">
        <f aca="false">E6-E7-E8</f>
        <v>2180.394</v>
      </c>
      <c r="F9" s="29" t="n">
        <f aca="false">F6-F7-F8</f>
        <v>5758</v>
      </c>
      <c r="G9" s="29" t="n">
        <f aca="false">G6-G7-G8</f>
        <v>0</v>
      </c>
      <c r="H9" s="29" t="n">
        <f aca="false">H6-H7-H8</f>
        <v>0</v>
      </c>
      <c r="I9" s="29" t="n">
        <f aca="false">I6-I7-I8</f>
        <v>0</v>
      </c>
      <c r="J9" s="29" t="n">
        <f aca="false">J6-J7-J8</f>
        <v>0</v>
      </c>
    </row>
    <row r="10" customFormat="false" ht="15" hidden="false" customHeight="false" outlineLevel="0" collapsed="false">
      <c r="A10" s="4" t="s">
        <v>376</v>
      </c>
      <c r="B10" s="29" t="n">
        <f aca="false">ROUND(assm_is_rate*MAX(0,B9),0)</f>
        <v>0</v>
      </c>
      <c r="C10" s="29" t="n">
        <f aca="false">ROUND(assm_is_rate*MAX(0,C9),0)</f>
        <v>0</v>
      </c>
      <c r="D10" s="29" t="n">
        <f aca="false">ROUND(assm_is_rate*MAX(0,D9),0)</f>
        <v>238</v>
      </c>
      <c r="E10" s="29" t="n">
        <f aca="false">ROUND(assm_is_rate*MAX(0,E9),0)</f>
        <v>545</v>
      </c>
      <c r="F10" s="29" t="n">
        <f aca="false">ROUND(assm_is_rate*MAX(0,F9),0)</f>
        <v>1440</v>
      </c>
      <c r="G10" s="29" t="n">
        <f aca="false">ROUND(assm_is_rate*MAX(0,G9),0)</f>
        <v>0</v>
      </c>
      <c r="H10" s="29" t="n">
        <f aca="false">ROUND(assm_is_rate*MAX(0,H9),0)</f>
        <v>0</v>
      </c>
      <c r="I10" s="29" t="n">
        <f aca="false">ROUND(assm_is_rate*MAX(0,I9),0)</f>
        <v>0</v>
      </c>
      <c r="J10" s="29" t="n">
        <f aca="false">ROUND(assm_is_rate*MAX(0,J9),0)</f>
        <v>0</v>
      </c>
    </row>
    <row r="11" customFormat="false" ht="15" hidden="false" customHeight="false" outlineLevel="0" collapsed="false">
      <c r="A11" s="32" t="s">
        <v>377</v>
      </c>
      <c r="B11" s="31" t="n">
        <f aca="false">B9-B10</f>
        <v>-716.276</v>
      </c>
      <c r="C11" s="31" t="n">
        <f aca="false">C9-C10</f>
        <v>-536.083</v>
      </c>
      <c r="D11" s="31" t="n">
        <f aca="false">D9-D10</f>
        <v>712.465</v>
      </c>
      <c r="E11" s="31" t="n">
        <f aca="false">E9-E10</f>
        <v>1635.394</v>
      </c>
      <c r="F11" s="31" t="n">
        <f aca="false">F9-F10</f>
        <v>4318</v>
      </c>
      <c r="G11" s="31" t="n">
        <f aca="false">G9-G10</f>
        <v>0</v>
      </c>
      <c r="H11" s="31" t="n">
        <f aca="false">H9-H10</f>
        <v>0</v>
      </c>
      <c r="I11" s="31" t="n">
        <f aca="false">I9-I10</f>
        <v>0</v>
      </c>
      <c r="J11" s="31" t="n">
        <f aca="false">J9-J10</f>
        <v>0</v>
      </c>
    </row>
    <row r="12" customFormat="false" ht="15" hidden="false" customHeight="false" outlineLevel="0" collapsed="false">
      <c r="A12" s="4" t="s">
        <v>378</v>
      </c>
      <c r="B12" s="29" t="n">
        <f aca="false">ROUND(CHOOSE(assm_wht_mode,0.05,0,0.1)*MAX(0,B11),0)</f>
        <v>0</v>
      </c>
      <c r="C12" s="29" t="n">
        <f aca="false">ROUND(CHOOSE(assm_wht_mode,0.05,0,0.1)*MAX(0,C11),0)</f>
        <v>0</v>
      </c>
      <c r="D12" s="29" t="n">
        <f aca="false">ROUND(CHOOSE(assm_wht_mode,0.05,0,0.1)*MAX(0,D11),0)</f>
        <v>71</v>
      </c>
      <c r="E12" s="29" t="n">
        <f aca="false">ROUND(CHOOSE(assm_wht_mode,0.05,0,0.1)*MAX(0,E11),0)</f>
        <v>164</v>
      </c>
      <c r="F12" s="29" t="n">
        <f aca="false">ROUND(CHOOSE(assm_wht_mode,0.05,0,0.1)*MAX(0,F11),0)</f>
        <v>432</v>
      </c>
      <c r="G12" s="29" t="n">
        <f aca="false">ROUND(CHOOSE(assm_wht_mode,0.05,0,0.1)*MAX(0,G11),0)</f>
        <v>0</v>
      </c>
      <c r="H12" s="29" t="n">
        <f aca="false">ROUND(CHOOSE(assm_wht_mode,0.05,0,0.1)*MAX(0,H11),0)</f>
        <v>0</v>
      </c>
      <c r="I12" s="29" t="n">
        <f aca="false">ROUND(CHOOSE(assm_wht_mode,0.05,0,0.1)*MAX(0,I11),0)</f>
        <v>0</v>
      </c>
      <c r="J12" s="29" t="n">
        <f aca="false">ROUND(CHOOSE(assm_wht_mode,0.05,0,0.1)*MAX(0,J11),0)</f>
        <v>0</v>
      </c>
    </row>
    <row r="13" customFormat="false" ht="15" hidden="false" customHeight="false" outlineLevel="0" collapsed="false">
      <c r="A13" s="32" t="s">
        <v>379</v>
      </c>
      <c r="B13" s="31" t="n">
        <f aca="false">B11-B12</f>
        <v>-716.276</v>
      </c>
      <c r="C13" s="31" t="n">
        <f aca="false">C11-C12</f>
        <v>-536.083</v>
      </c>
      <c r="D13" s="31" t="n">
        <f aca="false">D11-D12</f>
        <v>641.465</v>
      </c>
      <c r="E13" s="31" t="n">
        <f aca="false">E11-E12</f>
        <v>1471.394</v>
      </c>
      <c r="F13" s="31" t="n">
        <f aca="false">F11-F12</f>
        <v>3886</v>
      </c>
      <c r="G13" s="31" t="n">
        <f aca="false">G11-G12</f>
        <v>0</v>
      </c>
      <c r="H13" s="31" t="n">
        <f aca="false">H11-H12</f>
        <v>0</v>
      </c>
      <c r="I13" s="31" t="n">
        <f aca="false">I11-I12</f>
        <v>0</v>
      </c>
      <c r="J13" s="31" t="n">
        <f aca="false">J11-J12</f>
        <v>0</v>
      </c>
    </row>
    <row r="16" customFormat="false" ht="15" hidden="false" customHeight="false" outlineLevel="0" collapsed="false">
      <c r="A16" s="7" t="s">
        <v>380</v>
      </c>
    </row>
    <row r="17" customFormat="false" ht="15" hidden="false" customHeight="false" outlineLevel="0" collapsed="false">
      <c r="A17" s="4" t="s">
        <v>381</v>
      </c>
      <c r="B17" s="29" t="n">
        <f aca="false">'04_Revenus'!$B$30</f>
        <v>0</v>
      </c>
      <c r="C17" s="29" t="n">
        <f aca="false">'04_Revenus'!$C$30</f>
        <v>325</v>
      </c>
      <c r="D17" s="29" t="n">
        <f aca="false">'04_Revenus'!$D$30</f>
        <v>1825</v>
      </c>
      <c r="E17" s="29" t="n">
        <f aca="false">'04_Revenus'!$E$30</f>
        <v>3000</v>
      </c>
      <c r="F17" s="29" t="n">
        <f aca="false">'04_Revenus'!$F$30</f>
        <v>5275</v>
      </c>
      <c r="G17" s="29" t="n">
        <f aca="false">'04_Revenus'!$G$30</f>
        <v>1825</v>
      </c>
      <c r="H17" s="29" t="n">
        <f aca="false">'04_Revenus'!$H$30</f>
        <v>3000</v>
      </c>
      <c r="I17" s="29" t="n">
        <f aca="false">'04_Revenus'!$I$30</f>
        <v>5275</v>
      </c>
      <c r="J17" s="29" t="n">
        <f aca="false">'04_Revenus'!$J$30</f>
        <v>1825</v>
      </c>
    </row>
    <row r="18" customFormat="false" ht="15" hidden="false" customHeight="false" outlineLevel="0" collapsed="false">
      <c r="A18" s="4" t="s">
        <v>382</v>
      </c>
      <c r="B18" s="29" t="n">
        <f aca="false">'05_Opex'!$B$16</f>
        <v>724.7716</v>
      </c>
      <c r="C18" s="29" t="n">
        <f aca="false">'05_Opex'!$C$16</f>
        <v>912.0733</v>
      </c>
      <c r="D18" s="29" t="n">
        <f aca="false">'05_Opex'!$D$16</f>
        <v>1036.7795</v>
      </c>
      <c r="E18" s="29" t="n">
        <f aca="false">'05_Opex'!$E$16</f>
        <v>1863.0882</v>
      </c>
      <c r="F18" s="29" t="n">
        <f aca="false">'05_Opex'!$F$16</f>
        <v>2245.8733</v>
      </c>
      <c r="G18" s="29" t="n">
        <f aca="false">'05_Opex'!$G$16</f>
        <v>1036.7795</v>
      </c>
      <c r="H18" s="29" t="n">
        <f aca="false">'05_Opex'!$H$16</f>
        <v>1863.0882</v>
      </c>
      <c r="I18" s="29" t="n">
        <f aca="false">'05_Opex'!$I$16</f>
        <v>2245.8733</v>
      </c>
      <c r="J18" s="29" t="n">
        <f aca="false">'05_Opex'!$J$16</f>
        <v>1036.7795</v>
      </c>
    </row>
    <row r="19" customFormat="false" ht="15" hidden="false" customHeight="false" outlineLevel="0" collapsed="false">
      <c r="A19" s="4" t="s">
        <v>383</v>
      </c>
      <c r="B19" s="29" t="n">
        <f aca="false">'06_Inter_company'!$B$10</f>
        <v>0</v>
      </c>
      <c r="C19" s="29" t="n">
        <f aca="false">'06_Inter_company'!$C$10</f>
        <v>5</v>
      </c>
      <c r="D19" s="29" t="n">
        <f aca="false">'06_Inter_company'!$D$10</f>
        <v>12</v>
      </c>
      <c r="E19" s="29" t="n">
        <f aca="false">'06_Inter_company'!$E$10</f>
        <v>22</v>
      </c>
      <c r="F19" s="29" t="n">
        <f aca="false">'06_Inter_company'!$F$10</f>
        <v>136</v>
      </c>
      <c r="G19" s="29" t="n">
        <f aca="false">'06_Inter_company'!$G$10</f>
        <v>0</v>
      </c>
      <c r="H19" s="29" t="n">
        <f aca="false">'06_Inter_company'!$H$10</f>
        <v>0</v>
      </c>
      <c r="I19" s="29" t="n">
        <f aca="false">'06_Inter_company'!$I$10</f>
        <v>0</v>
      </c>
      <c r="J19" s="29" t="n">
        <f aca="false">'06_Inter_company'!$J$10</f>
        <v>0</v>
      </c>
    </row>
    <row r="20" customFormat="false" ht="15" hidden="false" customHeight="false" outlineLevel="0" collapsed="false">
      <c r="A20" s="4" t="s">
        <v>384</v>
      </c>
      <c r="B20" s="29" t="n">
        <f aca="false">B17-B18-B19</f>
        <v>-724.7716</v>
      </c>
      <c r="C20" s="29" t="n">
        <f aca="false">C17-C18-C19</f>
        <v>-592.0733</v>
      </c>
      <c r="D20" s="29" t="n">
        <f aca="false">D17-D18-D19</f>
        <v>776.2205</v>
      </c>
      <c r="E20" s="29" t="n">
        <f aca="false">E17-E18-E19</f>
        <v>1114.9118</v>
      </c>
      <c r="F20" s="29" t="n">
        <f aca="false">F17-F18-F19</f>
        <v>2893.1267</v>
      </c>
      <c r="G20" s="29" t="n">
        <f aca="false">G17-G18-G19</f>
        <v>788.2205</v>
      </c>
      <c r="H20" s="29" t="n">
        <f aca="false">H17-H18-H19</f>
        <v>1136.9118</v>
      </c>
      <c r="I20" s="29" t="n">
        <f aca="false">I17-I18-I19</f>
        <v>3029.1267</v>
      </c>
      <c r="J20" s="29" t="n">
        <f aca="false">J17-J18-J19</f>
        <v>788.2205</v>
      </c>
    </row>
    <row r="21" customFormat="false" ht="15" hidden="false" customHeight="false" outlineLevel="0" collapsed="false">
      <c r="A21" s="4" t="s">
        <v>385</v>
      </c>
      <c r="B21" s="29" t="n">
        <f aca="false">ROUND(assm_is_rate*MAX(0,B20),0)</f>
        <v>0</v>
      </c>
      <c r="C21" s="29" t="n">
        <f aca="false">ROUND(assm_is_rate*MAX(0,C20),0)</f>
        <v>0</v>
      </c>
      <c r="D21" s="29" t="n">
        <f aca="false">ROUND(assm_is_rate*MAX(0,D20),0)</f>
        <v>194</v>
      </c>
      <c r="E21" s="29" t="n">
        <f aca="false">ROUND(assm_is_rate*MAX(0,E20),0)</f>
        <v>279</v>
      </c>
      <c r="F21" s="29" t="n">
        <f aca="false">ROUND(assm_is_rate*MAX(0,F20),0)</f>
        <v>723</v>
      </c>
      <c r="G21" s="29" t="n">
        <f aca="false">ROUND(assm_is_rate*MAX(0,G20),0)</f>
        <v>197</v>
      </c>
      <c r="H21" s="29" t="n">
        <f aca="false">ROUND(assm_is_rate*MAX(0,H20),0)</f>
        <v>284</v>
      </c>
      <c r="I21" s="29" t="n">
        <f aca="false">ROUND(assm_is_rate*MAX(0,I20),0)</f>
        <v>757</v>
      </c>
      <c r="J21" s="29" t="n">
        <f aca="false">ROUND(assm_is_rate*MAX(0,J20),0)</f>
        <v>197</v>
      </c>
    </row>
    <row r="22" customFormat="false" ht="15" hidden="false" customHeight="false" outlineLevel="0" collapsed="false">
      <c r="A22" s="4" t="s">
        <v>386</v>
      </c>
      <c r="B22" s="29" t="n">
        <f aca="false">B20-B21-ROUND(CHOOSE(assm_wht_mode,0.05,0,0.1)*MAX(0,B20-B21),0)</f>
        <v>-724.7716</v>
      </c>
      <c r="C22" s="29" t="n">
        <f aca="false">C20-C21-ROUND(CHOOSE(assm_wht_mode,0.05,0,0.1)*MAX(0,C20-C21),0)</f>
        <v>-592.0733</v>
      </c>
      <c r="D22" s="29" t="n">
        <f aca="false">D20-D21-ROUND(CHOOSE(assm_wht_mode,0.05,0,0.1)*MAX(0,D20-D21),0)</f>
        <v>524.2205</v>
      </c>
      <c r="E22" s="29" t="n">
        <f aca="false">E20-E21-ROUND(CHOOSE(assm_wht_mode,0.05,0,0.1)*MAX(0,E20-E21),0)</f>
        <v>751.9118</v>
      </c>
      <c r="F22" s="29" t="n">
        <f aca="false">F20-F21-ROUND(CHOOSE(assm_wht_mode,0.05,0,0.1)*MAX(0,F20-F21),0)</f>
        <v>1953.1267</v>
      </c>
      <c r="G22" s="29" t="n">
        <f aca="false">G20-G21-ROUND(CHOOSE(assm_wht_mode,0.05,0,0.1)*MAX(0,G20-G21),0)</f>
        <v>532.2205</v>
      </c>
      <c r="H22" s="29" t="n">
        <f aca="false">H20-H21-ROUND(CHOOSE(assm_wht_mode,0.05,0,0.1)*MAX(0,H20-H21),0)</f>
        <v>767.9118</v>
      </c>
      <c r="I22" s="29" t="n">
        <f aca="false">I20-I21-ROUND(CHOOSE(assm_wht_mode,0.05,0,0.1)*MAX(0,I20-I21),0)</f>
        <v>2045.1267</v>
      </c>
      <c r="J22" s="29" t="n">
        <f aca="false">J20-J21-ROUND(CHOOSE(assm_wht_mode,0.05,0,0.1)*MAX(0,J20-J21),0)</f>
        <v>532.2205</v>
      </c>
    </row>
    <row r="25" customFormat="false" ht="15" hidden="false" customHeight="false" outlineLevel="0" collapsed="false">
      <c r="A25" s="7" t="s">
        <v>387</v>
      </c>
    </row>
    <row r="26" customFormat="false" ht="15" hidden="false" customHeight="false" outlineLevel="0" collapsed="false">
      <c r="A26" s="38" t="s">
        <v>388</v>
      </c>
      <c r="B26" s="39" t="n">
        <f aca="false">F13</f>
        <v>3886</v>
      </c>
    </row>
    <row r="27" customFormat="false" ht="15" hidden="false" customHeight="false" outlineLevel="0" collapsed="false">
      <c r="A27" s="36" t="s">
        <v>389</v>
      </c>
      <c r="B27" s="40" t="n">
        <f aca="false">ROUND(MAX(0,('04_Revenus'!$F$47-'05_Opex'!$F$42-'06_Inter_company'!$F$10)*(1-0)*(1-0.1)),0)</f>
        <v>5182</v>
      </c>
      <c r="C27" s="17" t="s">
        <v>390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K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10" min="2" style="0" width="10"/>
    <col collapsed="false" customWidth="true" hidden="false" outlineLevel="0" max="11" min="11" style="0" width="2"/>
  </cols>
  <sheetData>
    <row r="1" customFormat="false" ht="25.5" hidden="false" customHeight="true" outlineLevel="0" collapsed="false">
      <c r="A1" s="1" t="s">
        <v>391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3" t="s">
        <v>392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11.15" hidden="false" customHeight="false" outlineLevel="0" collapsed="false">
      <c r="A3" s="14" t="s">
        <v>57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customFormat="false" ht="15" hidden="false" customHeight="false" outlineLevel="0" collapsed="false">
      <c r="A5" s="7" t="s">
        <v>260</v>
      </c>
      <c r="B5" s="7" t="s">
        <v>261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  <c r="K5" s="7"/>
    </row>
    <row r="6" customFormat="false" ht="15" hidden="false" customHeight="false" outlineLevel="0" collapsed="false">
      <c r="A6" s="4" t="s">
        <v>393</v>
      </c>
      <c r="B6" s="33" t="n">
        <f aca="false">'04_Revenus'!$B$30</f>
        <v>0</v>
      </c>
      <c r="C6" s="33" t="n">
        <f aca="false">'04_Revenus'!$C$30</f>
        <v>325</v>
      </c>
      <c r="D6" s="33" t="n">
        <f aca="false">'04_Revenus'!$D$30</f>
        <v>1825</v>
      </c>
      <c r="E6" s="33" t="n">
        <f aca="false">'04_Revenus'!$E$30</f>
        <v>3000</v>
      </c>
      <c r="F6" s="33" t="n">
        <f aca="false">'04_Revenus'!$F$30</f>
        <v>5275</v>
      </c>
      <c r="G6" s="33" t="n">
        <f aca="false">'04_Revenus'!$G$30</f>
        <v>1825</v>
      </c>
      <c r="H6" s="33" t="n">
        <f aca="false">'04_Revenus'!$H$30</f>
        <v>3000</v>
      </c>
      <c r="I6" s="33" t="n">
        <f aca="false">'04_Revenus'!$I$30</f>
        <v>5275</v>
      </c>
      <c r="J6" s="33" t="n">
        <f aca="false">'04_Revenus'!$J$30</f>
        <v>1825</v>
      </c>
    </row>
    <row r="7" customFormat="false" ht="15" hidden="false" customHeight="false" outlineLevel="0" collapsed="false">
      <c r="A7" s="4" t="s">
        <v>373</v>
      </c>
      <c r="B7" s="33" t="n">
        <f aca="false">'05_Opex'!$B$16</f>
        <v>724.7716</v>
      </c>
      <c r="C7" s="33" t="n">
        <f aca="false">'05_Opex'!$C$16</f>
        <v>912.0733</v>
      </c>
      <c r="D7" s="33" t="n">
        <f aca="false">'05_Opex'!$D$16</f>
        <v>1036.7795</v>
      </c>
      <c r="E7" s="33" t="n">
        <f aca="false">'05_Opex'!$E$16</f>
        <v>1863.0882</v>
      </c>
      <c r="F7" s="33" t="n">
        <f aca="false">'05_Opex'!$F$16</f>
        <v>2245.8733</v>
      </c>
      <c r="G7" s="33" t="n">
        <f aca="false">'05_Opex'!$G$16</f>
        <v>1036.7795</v>
      </c>
      <c r="H7" s="33" t="n">
        <f aca="false">'05_Opex'!$H$16</f>
        <v>1863.0882</v>
      </c>
      <c r="I7" s="33" t="n">
        <f aca="false">'05_Opex'!$I$16</f>
        <v>2245.8733</v>
      </c>
      <c r="J7" s="33" t="n">
        <f aca="false">'05_Opex'!$J$16</f>
        <v>1036.7795</v>
      </c>
    </row>
    <row r="8" customFormat="false" ht="15" hidden="false" customHeight="false" outlineLevel="0" collapsed="false">
      <c r="A8" s="4" t="s">
        <v>394</v>
      </c>
      <c r="B8" s="33" t="n">
        <f aca="false">'07_Cascade_Fiscale'!$B$13</f>
        <v>-716.276</v>
      </c>
      <c r="C8" s="33" t="n">
        <f aca="false">'07_Cascade_Fiscale'!$C$13</f>
        <v>-536.083</v>
      </c>
      <c r="D8" s="33" t="n">
        <f aca="false">'07_Cascade_Fiscale'!$D$13</f>
        <v>641.465</v>
      </c>
      <c r="E8" s="33" t="n">
        <f aca="false">'07_Cascade_Fiscale'!$E$13</f>
        <v>1471.394</v>
      </c>
      <c r="F8" s="33" t="n">
        <f aca="false">'07_Cascade_Fiscale'!$F$13</f>
        <v>3886</v>
      </c>
      <c r="G8" s="33" t="n">
        <f aca="false">'07_Cascade_Fiscale'!$G$13</f>
        <v>0</v>
      </c>
      <c r="H8" s="33" t="n">
        <f aca="false">'07_Cascade_Fiscale'!$H$13</f>
        <v>0</v>
      </c>
      <c r="I8" s="33" t="n">
        <f aca="false">'07_Cascade_Fiscale'!$I$13</f>
        <v>0</v>
      </c>
      <c r="J8" s="33" t="n">
        <f aca="false">'07_Cascade_Fiscale'!$J$13</f>
        <v>0</v>
      </c>
    </row>
    <row r="9" customFormat="false" ht="15" hidden="false" customHeight="false" outlineLevel="0" collapsed="false">
      <c r="A9" s="30" t="s">
        <v>395</v>
      </c>
      <c r="B9" s="31" t="n">
        <f aca="false">B8</f>
        <v>-716.276</v>
      </c>
      <c r="C9" s="31" t="n">
        <f aca="false">B9+C8</f>
        <v>-1252.359</v>
      </c>
      <c r="D9" s="31" t="n">
        <f aca="false">C9+D8</f>
        <v>-610.894</v>
      </c>
      <c r="E9" s="31" t="n">
        <f aca="false">D9+E8</f>
        <v>860.5</v>
      </c>
      <c r="F9" s="31" t="n">
        <f aca="false">E9+F8</f>
        <v>4746.5</v>
      </c>
      <c r="G9" s="31" t="n">
        <f aca="false">F9+G8</f>
        <v>4746.5</v>
      </c>
      <c r="H9" s="31" t="n">
        <f aca="false">G9+H8</f>
        <v>4746.5</v>
      </c>
      <c r="I9" s="31" t="n">
        <f aca="false">H9+I8</f>
        <v>4746.5</v>
      </c>
      <c r="J9" s="31" t="n">
        <f aca="false">I9+J8</f>
        <v>4746.5</v>
      </c>
    </row>
    <row r="11" customFormat="false" ht="15" hidden="false" customHeight="false" outlineLevel="0" collapsed="false">
      <c r="A11" s="30" t="s">
        <v>396</v>
      </c>
      <c r="B11" s="5" t="str">
        <f aca="false">IF(B9&gt;=0,"Y1",IF(C9&gt;=0,"Y2",IF(D9&gt;=0,"Y3",IF(E9&gt;=0,"Y4",IF(F9&gt;=0,"Y5","Y6+")))))</f>
        <v>Y4</v>
      </c>
      <c r="C11" s="17" t="s">
        <v>397</v>
      </c>
    </row>
  </sheetData>
  <mergeCells count="3">
    <mergeCell ref="A1:K1"/>
    <mergeCell ref="A2:K2"/>
    <mergeCell ref="A3:K3"/>
  </mergeCells>
  <hyperlinks>
    <hyperlink ref="A3" r:id="rId1" location="'00_Couverture'!A1" display="&lt; Couvertur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2026-06-22T05:36:01Z</dcterms:created>
  <dc:creator>openpyxl</dc:creator>
  <dc:description/>
  <dc:language>en-CA</dc:language>
  <cp:lastModifiedBy/>
  <dcterms:modified xsi:type="dcterms:W3CDTF">2026-06-22T05:36:01Z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